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5576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7" i="1" l="1"/>
  <c r="C22" i="1" l="1"/>
  <c r="J66" i="1" l="1"/>
  <c r="I66" i="1"/>
  <c r="H66" i="1"/>
  <c r="G66" i="1"/>
  <c r="G65" i="1"/>
  <c r="G57" i="1"/>
  <c r="D67" i="1"/>
  <c r="D68" i="1" s="1"/>
  <c r="C69" i="1" s="1"/>
  <c r="C78" i="1" s="1"/>
  <c r="D59" i="1"/>
  <c r="D60" i="1" s="1"/>
  <c r="C61" i="1" s="1"/>
  <c r="C72" i="1" s="1"/>
  <c r="C73" i="1" l="1"/>
  <c r="C74" i="1" s="1"/>
  <c r="D69" i="1"/>
  <c r="C58" i="1"/>
  <c r="D61" i="1" s="1"/>
  <c r="J9" i="1"/>
  <c r="I9" i="1"/>
  <c r="H9" i="1"/>
  <c r="G9" i="1"/>
  <c r="G7" i="1"/>
  <c r="H58" i="1" l="1"/>
  <c r="G58" i="1"/>
  <c r="J58" i="1"/>
  <c r="I58" i="1"/>
  <c r="D45" i="1"/>
  <c r="B32" i="1"/>
  <c r="C79" i="1" l="1"/>
  <c r="D18" i="1" l="1"/>
  <c r="D46" i="1"/>
  <c r="D47" i="1" s="1"/>
  <c r="D20" i="1"/>
  <c r="D36" i="1" l="1"/>
  <c r="D19" i="1"/>
  <c r="D13" i="1"/>
  <c r="B40" i="1" l="1"/>
  <c r="B41" i="1"/>
  <c r="E32" i="1" l="1"/>
  <c r="B5" i="1" l="1"/>
  <c r="E21" i="1" l="1"/>
  <c r="B37" i="1" l="1"/>
  <c r="D15" i="1"/>
  <c r="B16" i="1" l="1"/>
  <c r="E16" i="1"/>
  <c r="E31" i="1" l="1"/>
  <c r="E33" i="1" s="1"/>
  <c r="D14" i="1"/>
  <c r="C16" i="1"/>
  <c r="C17" i="1" s="1"/>
  <c r="C21" i="1"/>
  <c r="C23" i="1" s="1"/>
  <c r="C24" i="1" s="1"/>
  <c r="C25" i="1" l="1"/>
  <c r="C26" i="1" l="1"/>
  <c r="D51" i="1"/>
  <c r="C51" i="1" s="1"/>
  <c r="C38" i="1" l="1"/>
  <c r="D41" i="1" s="1"/>
  <c r="C41" i="1" s="1"/>
  <c r="C28" i="1"/>
  <c r="D32" i="1" s="1"/>
  <c r="C48" i="1"/>
  <c r="D48" i="1" s="1"/>
  <c r="C50" i="1" s="1"/>
  <c r="D38" i="1" l="1"/>
  <c r="C40" i="1" s="1"/>
  <c r="D29" i="1"/>
  <c r="C30" i="1" s="1"/>
  <c r="C32" i="1" s="1"/>
  <c r="D31" i="1" l="1"/>
  <c r="D28" i="1" s="1"/>
  <c r="C31" i="1" l="1"/>
</calcChain>
</file>

<file path=xl/sharedStrings.xml><?xml version="1.0" encoding="utf-8"?>
<sst xmlns="http://schemas.openxmlformats.org/spreadsheetml/2006/main" count="76" uniqueCount="51">
  <si>
    <t>Fill in the pink cells, I will do the rest...</t>
  </si>
  <si>
    <t>Is this a win/lose match?  Enter y  or n.</t>
  </si>
  <si>
    <t>1st innings</t>
  </si>
  <si>
    <t>Was this innings "All Out"?   Enter y or n.</t>
  </si>
  <si>
    <t>Overs available for 1st innings</t>
  </si>
  <si>
    <t>Completed overs used in 1st innings</t>
  </si>
  <si>
    <t>Incomplete overs: no of extra balls bowled</t>
  </si>
  <si>
    <t>Run rate for first innings</t>
  </si>
  <si>
    <t>Difference</t>
  </si>
  <si>
    <t>Multiplier</t>
  </si>
  <si>
    <t>Rate factor rounded</t>
  </si>
  <si>
    <t>New rate rounded</t>
  </si>
  <si>
    <t>New target</t>
  </si>
  <si>
    <t>During subsequent stoppages in the 2nd innings do this:</t>
  </si>
  <si>
    <t>TOTAL overs NOW available for the 2nd innings</t>
  </si>
  <si>
    <t>Revised target</t>
  </si>
  <si>
    <t>Input W for Worcs CL or B for BDPCL</t>
  </si>
  <si>
    <t>(If curtailed, no of extra balls bowled)</t>
  </si>
  <si>
    <t xml:space="preserve"> </t>
  </si>
  <si>
    <t>Reduced Overs Target Calculator</t>
  </si>
  <si>
    <t>RUNS TO WIN</t>
  </si>
  <si>
    <t>Runs for a Winning Draw</t>
  </si>
  <si>
    <t>Total 2nd innings overs available NOW (after deduction)</t>
  </si>
  <si>
    <t>Total number of completed overs bowled</t>
  </si>
  <si>
    <t>Number of extra balls bowled</t>
  </si>
  <si>
    <t>IF THE MATCH IS CURTAILED (no more play possible)</t>
  </si>
  <si>
    <t>n</t>
  </si>
  <si>
    <t>Runs for a winning draw AT THIS POINT</t>
  </si>
  <si>
    <t>Runs for a losing draw AT THIS POINT</t>
  </si>
  <si>
    <t>b</t>
  </si>
  <si>
    <t>Wickets lost</t>
  </si>
  <si>
    <t>BONUS POINTS</t>
  </si>
  <si>
    <t>BATTING</t>
  </si>
  <si>
    <t>BOWLING</t>
  </si>
  <si>
    <t>Overs available</t>
  </si>
  <si>
    <t>4pts</t>
  </si>
  <si>
    <t>3pts</t>
  </si>
  <si>
    <t>2pts</t>
  </si>
  <si>
    <t>1pt</t>
  </si>
  <si>
    <t>Thresholds</t>
  </si>
  <si>
    <t>All out?</t>
  </si>
  <si>
    <t xml:space="preserve">Overs used </t>
  </si>
  <si>
    <t>incomplete overs: no of extra balls bowled</t>
  </si>
  <si>
    <t>Run rate</t>
  </si>
  <si>
    <t>2nd Innings final score</t>
  </si>
  <si>
    <t>1st Innings final score</t>
  </si>
  <si>
    <t>Bonus points for team batting first</t>
  </si>
  <si>
    <t>Batting</t>
  </si>
  <si>
    <t>Bowling</t>
  </si>
  <si>
    <t>Bonus points for team batting second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</si>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</sst>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92D050"/>
      <name val="Calibri"/>
      <family val="2"/>
      <scheme val="minor"/>
    </font>
    <font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sz val="16"/>
      <color theme="7" tint="0.79998168889431442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Alignment="1" applyProtection="1">
      <alignment wrapText="1"/>
      <protection hidden="1"/>
    </xf>
    <xf numFmtId="0" fontId="2" fillId="0" borderId="0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164" fontId="5" fillId="0" borderId="0" xfId="0" applyNumberFormat="1" applyFont="1" applyFill="1" applyProtection="1">
      <protection hidden="1"/>
    </xf>
    <xf numFmtId="2" fontId="5" fillId="0" borderId="0" xfId="0" applyNumberFormat="1" applyFont="1" applyFill="1" applyProtection="1">
      <protection hidden="1"/>
    </xf>
    <xf numFmtId="0" fontId="5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1" fontId="2" fillId="2" borderId="1" xfId="0" applyNumberFormat="1" applyFont="1" applyFill="1" applyBorder="1" applyProtection="1">
      <protection locked="0" hidden="1"/>
    </xf>
    <xf numFmtId="0" fontId="2" fillId="2" borderId="1" xfId="0" applyFont="1" applyFill="1" applyBorder="1" applyProtection="1">
      <protection locked="0" hidden="1"/>
    </xf>
    <xf numFmtId="0" fontId="8" fillId="5" borderId="1" xfId="0" applyFont="1" applyFill="1" applyBorder="1" applyProtection="1">
      <protection hidden="1"/>
    </xf>
    <xf numFmtId="165" fontId="5" fillId="0" borderId="0" xfId="0" applyNumberFormat="1" applyFont="1" applyFill="1" applyProtection="1">
      <protection hidden="1"/>
    </xf>
    <xf numFmtId="0" fontId="12" fillId="3" borderId="1" xfId="0" applyFont="1" applyFill="1" applyBorder="1" applyAlignment="1" applyProtection="1">
      <alignment horizontal="right"/>
      <protection hidden="1"/>
    </xf>
    <xf numFmtId="164" fontId="13" fillId="0" borderId="0" xfId="0" applyNumberFormat="1" applyFont="1" applyFill="1" applyProtection="1">
      <protection hidden="1"/>
    </xf>
    <xf numFmtId="0" fontId="13" fillId="0" borderId="0" xfId="0" applyFont="1" applyFill="1" applyProtection="1">
      <protection hidden="1"/>
    </xf>
    <xf numFmtId="0" fontId="2" fillId="6" borderId="1" xfId="0" applyFont="1" applyFill="1" applyBorder="1" applyProtection="1">
      <protection locked="0"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14" fillId="8" borderId="0" xfId="0" applyFont="1" applyFill="1" applyProtection="1">
      <protection hidden="1"/>
    </xf>
    <xf numFmtId="0" fontId="2" fillId="8" borderId="0" xfId="0" applyFont="1" applyFill="1" applyProtection="1">
      <protection hidden="1"/>
    </xf>
    <xf numFmtId="0" fontId="15" fillId="8" borderId="1" xfId="0" applyFont="1" applyFill="1" applyBorder="1" applyProtection="1">
      <protection hidden="1"/>
    </xf>
    <xf numFmtId="0" fontId="16" fillId="8" borderId="1" xfId="0" applyFont="1" applyFill="1" applyBorder="1" applyProtection="1">
      <protection hidden="1"/>
    </xf>
    <xf numFmtId="0" fontId="0" fillId="0" borderId="0" xfId="0" applyFill="1" applyProtection="1"/>
    <xf numFmtId="2" fontId="2" fillId="8" borderId="0" xfId="0" applyNumberFormat="1" applyFont="1" applyFill="1" applyProtection="1"/>
    <xf numFmtId="0" fontId="0" fillId="8" borderId="0" xfId="0" applyFill="1" applyProtection="1"/>
    <xf numFmtId="0" fontId="0" fillId="9" borderId="0" xfId="0" applyFill="1" applyProtection="1">
      <protection hidden="1"/>
    </xf>
    <xf numFmtId="0" fontId="3" fillId="9" borderId="0" xfId="0" applyFont="1" applyFill="1" applyProtection="1">
      <protection hidden="1"/>
    </xf>
    <xf numFmtId="0" fontId="2" fillId="9" borderId="0" xfId="0" applyFont="1" applyFill="1" applyProtection="1">
      <protection hidden="1"/>
    </xf>
    <xf numFmtId="0" fontId="6" fillId="9" borderId="0" xfId="0" applyFont="1" applyFill="1" applyAlignment="1" applyProtection="1">
      <alignment horizontal="right"/>
      <protection hidden="1"/>
    </xf>
    <xf numFmtId="2" fontId="10" fillId="9" borderId="0" xfId="0" applyNumberFormat="1" applyFont="1" applyFill="1" applyProtection="1">
      <protection hidden="1"/>
    </xf>
    <xf numFmtId="2" fontId="2" fillId="9" borderId="0" xfId="0" applyNumberFormat="1" applyFont="1" applyFill="1" applyProtection="1">
      <protection hidden="1"/>
    </xf>
    <xf numFmtId="1" fontId="7" fillId="9" borderId="1" xfId="0" applyNumberFormat="1" applyFont="1" applyFill="1" applyBorder="1" applyProtection="1">
      <protection hidden="1"/>
    </xf>
    <xf numFmtId="0" fontId="8" fillId="9" borderId="1" xfId="0" applyFont="1" applyFill="1" applyBorder="1" applyProtection="1"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8" fillId="3" borderId="1" xfId="0" applyFont="1" applyFill="1" applyBorder="1" applyProtection="1">
      <protection hidden="1"/>
    </xf>
    <xf numFmtId="0" fontId="2" fillId="5" borderId="1" xfId="0" applyFont="1" applyFill="1" applyBorder="1" applyProtection="1">
      <protection hidden="1"/>
    </xf>
    <xf numFmtId="1" fontId="19" fillId="4" borderId="1" xfId="0" applyNumberFormat="1" applyFont="1" applyFill="1" applyBorder="1" applyAlignment="1" applyProtection="1">
      <alignment horizontal="right"/>
      <protection hidden="1"/>
    </xf>
    <xf numFmtId="0" fontId="20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2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0" fillId="11" borderId="0" xfId="0" applyFill="1" applyProtection="1">
      <protection hidden="1"/>
    </xf>
    <xf numFmtId="0" fontId="2" fillId="11" borderId="0" xfId="0" applyFont="1" applyFill="1" applyAlignment="1" applyProtection="1">
      <alignment horizontal="right"/>
      <protection hidden="1"/>
    </xf>
    <xf numFmtId="0" fontId="9" fillId="11" borderId="0" xfId="0" applyFont="1" applyFill="1" applyAlignment="1" applyProtection="1">
      <alignment horizontal="right"/>
      <protection hidden="1"/>
    </xf>
    <xf numFmtId="0" fontId="23" fillId="11" borderId="0" xfId="0" applyFont="1" applyFill="1" applyAlignment="1" applyProtection="1">
      <alignment horizontal="right"/>
      <protection hidden="1"/>
    </xf>
    <xf numFmtId="0" fontId="0" fillId="11" borderId="0" xfId="0" applyFill="1" applyAlignment="1" applyProtection="1">
      <alignment horizontal="right"/>
      <protection hidden="1"/>
    </xf>
    <xf numFmtId="0" fontId="8" fillId="11" borderId="0" xfId="0" applyFont="1" applyFill="1" applyProtection="1">
      <protection hidden="1"/>
    </xf>
    <xf numFmtId="165" fontId="8" fillId="11" borderId="0" xfId="0" applyNumberFormat="1" applyFont="1" applyFill="1" applyProtection="1">
      <protection hidden="1"/>
    </xf>
    <xf numFmtId="0" fontId="25" fillId="11" borderId="0" xfId="0" applyFont="1" applyFill="1" applyAlignment="1" applyProtection="1">
      <alignment horizontal="right"/>
      <protection hidden="1"/>
    </xf>
    <xf numFmtId="0" fontId="25" fillId="11" borderId="0" xfId="0" applyFont="1" applyFill="1" applyProtection="1">
      <protection hidden="1"/>
    </xf>
    <xf numFmtId="0" fontId="27" fillId="11" borderId="0" xfId="0" applyFont="1" applyFill="1" applyAlignment="1" applyProtection="1">
      <alignment horizontal="right"/>
      <protection hidden="1"/>
    </xf>
    <xf numFmtId="0" fontId="8" fillId="11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9" fillId="7" borderId="1" xfId="0" applyFont="1" applyFill="1" applyBorder="1" applyProtection="1">
      <protection hidden="1"/>
    </xf>
    <xf numFmtId="0" fontId="26" fillId="9" borderId="1" xfId="0" applyFont="1" applyFill="1" applyBorder="1" applyProtection="1">
      <protection hidden="1"/>
    </xf>
    <xf numFmtId="0" fontId="2" fillId="10" borderId="0" xfId="0" applyFont="1" applyFill="1" applyProtection="1">
      <protection hidden="1"/>
    </xf>
    <xf numFmtId="0" fontId="5" fillId="10" borderId="0" xfId="0" applyFont="1" applyFill="1" applyAlignment="1" applyProtection="1">
      <alignment horizontal="right"/>
      <protection hidden="1"/>
    </xf>
    <xf numFmtId="0" fontId="11" fillId="10" borderId="0" xfId="0" applyFont="1" applyFill="1" applyAlignment="1" applyProtection="1">
      <alignment horizontal="left"/>
      <protection hidden="1"/>
    </xf>
    <xf numFmtId="164" fontId="28" fillId="10" borderId="0" xfId="0" applyNumberFormat="1" applyFont="1" applyFill="1" applyProtection="1">
      <protection hidden="1"/>
    </xf>
    <xf numFmtId="1" fontId="2" fillId="2" borderId="1" xfId="0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hidden="1"/>
    </xf>
    <xf numFmtId="0" fontId="30" fillId="0" borderId="0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1" fontId="8" fillId="2" borderId="1" xfId="0" applyNumberFormat="1" applyFont="1" applyFill="1" applyBorder="1" applyProtection="1">
      <protection locked="0" hidden="1"/>
    </xf>
    <xf numFmtId="1" fontId="8" fillId="2" borderId="1" xfId="0" applyNumberFormat="1" applyFont="1" applyFill="1" applyBorder="1" applyAlignment="1" applyProtection="1">
      <alignment horizontal="center"/>
      <protection locked="0" hidden="1"/>
    </xf>
    <xf numFmtId="1" fontId="7" fillId="7" borderId="1" xfId="0" applyNumberFormat="1" applyFont="1" applyFill="1" applyBorder="1" applyProtection="1">
      <protection hidden="1"/>
    </xf>
    <xf numFmtId="165" fontId="2" fillId="10" borderId="0" xfId="0" applyNumberFormat="1" applyFont="1" applyFill="1" applyProtection="1">
      <protection hidden="1"/>
    </xf>
    <xf numFmtId="1" fontId="5" fillId="10" borderId="0" xfId="0" applyNumberFormat="1" applyFont="1" applyFill="1" applyProtection="1">
      <protection hidden="1"/>
    </xf>
    <xf numFmtId="0" fontId="2" fillId="10" borderId="0" xfId="0" applyFont="1" applyFill="1" applyBorder="1" applyProtection="1">
      <protection hidden="1"/>
    </xf>
    <xf numFmtId="2" fontId="2" fillId="10" borderId="0" xfId="0" applyNumberFormat="1" applyFont="1" applyFill="1" applyProtection="1">
      <protection hidden="1"/>
    </xf>
    <xf numFmtId="2" fontId="28" fillId="10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31" fillId="0" borderId="0" xfId="0" applyFont="1" applyBorder="1"/>
    <xf numFmtId="0" fontId="5" fillId="0" borderId="0" xfId="0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right"/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0" fontId="29" fillId="0" borderId="0" xfId="0" applyFont="1" applyBorder="1" applyAlignment="1">
      <alignment horizontal="center" vertical="center"/>
    </xf>
    <xf numFmtId="0" fontId="34" fillId="0" borderId="0" xfId="0" applyFont="1" applyFill="1" applyProtection="1"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29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RowColHeaders="0" tabSelected="1" workbookViewId="0">
      <selection activeCell="C20" sqref="C20"/>
    </sheetView>
  </sheetViews>
  <sheetFormatPr defaultColWidth="9.109375" defaultRowHeight="14.4" x14ac:dyDescent="0.3"/>
  <cols>
    <col min="1" max="1" width="3.109375" style="11" customWidth="1"/>
    <col min="2" max="2" width="69.88671875" style="11" customWidth="1"/>
    <col min="3" max="3" width="11.44140625" style="11" customWidth="1"/>
    <col min="4" max="4" width="13.109375" style="19" customWidth="1"/>
    <col min="5" max="5" width="11.44140625" style="19" bestFit="1" customWidth="1"/>
    <col min="6" max="6" width="11.6640625" style="19" customWidth="1"/>
    <col min="7" max="7" width="9.109375" style="19"/>
    <col min="8" max="8" width="12.109375" style="19" customWidth="1"/>
    <col min="9" max="11" width="9.109375" style="19"/>
    <col min="12" max="12" width="13.109375" style="19" customWidth="1"/>
    <col min="13" max="20" width="9.109375" style="19"/>
    <col min="21" max="16384" width="9.109375" style="11"/>
  </cols>
  <sheetData>
    <row r="1" spans="2:28" ht="26.25" x14ac:dyDescent="0.4">
      <c r="B1" s="2" t="s">
        <v>19</v>
      </c>
      <c r="C1" s="1"/>
      <c r="D1" s="9"/>
      <c r="E1" s="9"/>
      <c r="F1" s="9"/>
      <c r="G1" s="9"/>
      <c r="U1" s="85"/>
      <c r="V1" s="85"/>
      <c r="W1" s="85"/>
      <c r="X1" s="85"/>
      <c r="Y1" s="85"/>
      <c r="Z1" s="85"/>
      <c r="AA1" s="85"/>
      <c r="AB1" s="44"/>
    </row>
    <row r="2" spans="2:28" ht="6" customHeight="1" x14ac:dyDescent="0.4">
      <c r="B2" s="2"/>
      <c r="C2" s="1"/>
      <c r="D2" s="9"/>
      <c r="E2" s="9"/>
      <c r="F2" s="9"/>
      <c r="G2" s="9"/>
      <c r="U2" s="85"/>
      <c r="V2" s="85"/>
      <c r="W2" s="85"/>
      <c r="X2" s="85"/>
      <c r="Y2" s="85"/>
      <c r="Z2" s="85"/>
      <c r="AA2" s="85"/>
      <c r="AB2" s="44"/>
    </row>
    <row r="3" spans="2:28" ht="24" customHeight="1" x14ac:dyDescent="0.35">
      <c r="B3" s="3" t="s">
        <v>0</v>
      </c>
      <c r="C3" s="1"/>
      <c r="D3" s="9"/>
      <c r="E3" s="9"/>
      <c r="F3" s="9"/>
      <c r="G3" s="9"/>
      <c r="U3" s="85"/>
      <c r="V3" s="85"/>
      <c r="W3" s="85"/>
      <c r="X3" s="85"/>
      <c r="Y3" s="85"/>
      <c r="Z3" s="85"/>
      <c r="AA3" s="85"/>
      <c r="AB3" s="44"/>
    </row>
    <row r="4" spans="2:28" s="19" customFormat="1" ht="7.5" customHeight="1" x14ac:dyDescent="0.35">
      <c r="B4" s="9" t="s">
        <v>16</v>
      </c>
      <c r="C4" s="21" t="s">
        <v>29</v>
      </c>
      <c r="D4" s="9"/>
      <c r="E4" s="9"/>
      <c r="F4" s="9"/>
      <c r="G4" s="9"/>
      <c r="U4" s="85"/>
      <c r="V4" s="85"/>
      <c r="W4" s="85"/>
      <c r="X4" s="85"/>
      <c r="Y4" s="85"/>
      <c r="Z4" s="85"/>
      <c r="AA4" s="85"/>
      <c r="AB4" s="44"/>
    </row>
    <row r="5" spans="2:28" ht="29.25" customHeight="1" x14ac:dyDescent="0.35">
      <c r="B5" s="4" t="str">
        <f>IF(C4="w","Following a rain interruption in the 1st innings or during the first 20 overs of the 2nd innings:","Following a rain interruption in the 1st innings")</f>
        <v>Following a rain interruption in the 1st innings</v>
      </c>
      <c r="C5" s="1"/>
      <c r="D5" s="9"/>
      <c r="E5" s="9"/>
      <c r="F5" s="77"/>
      <c r="G5" s="7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86"/>
      <c r="V5" s="85"/>
      <c r="W5" s="85"/>
      <c r="X5" s="85"/>
      <c r="Y5" s="85"/>
      <c r="Z5" s="85"/>
      <c r="AA5" s="85"/>
      <c r="AB5" s="44"/>
    </row>
    <row r="6" spans="2:28" ht="9.75" customHeight="1" x14ac:dyDescent="0.35">
      <c r="B6" s="1"/>
      <c r="C6" s="1"/>
      <c r="D6" s="9"/>
      <c r="E6" s="9"/>
      <c r="F6" s="77"/>
      <c r="G6" s="77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86"/>
      <c r="V6" s="85"/>
      <c r="W6" s="85"/>
      <c r="X6" s="85"/>
      <c r="Y6" s="85"/>
      <c r="Z6" s="85"/>
      <c r="AA6" s="85"/>
      <c r="AB6" s="44"/>
    </row>
    <row r="7" spans="2:28" ht="21" x14ac:dyDescent="0.35">
      <c r="B7" s="1" t="s">
        <v>1</v>
      </c>
      <c r="C7" s="12" t="s">
        <v>26</v>
      </c>
      <c r="D7" s="9"/>
      <c r="E7" s="9"/>
      <c r="F7" s="65" t="s">
        <v>30</v>
      </c>
      <c r="G7" s="78">
        <f>IF(C10="y",10,C11)</f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86"/>
      <c r="V7" s="85"/>
      <c r="W7" s="85"/>
      <c r="X7" s="85"/>
      <c r="Y7" s="85"/>
      <c r="Z7" s="85"/>
      <c r="AA7" s="85"/>
      <c r="AB7" s="44"/>
    </row>
    <row r="8" spans="2:28" ht="9" customHeight="1" x14ac:dyDescent="0.35">
      <c r="B8" s="5"/>
      <c r="C8" s="6"/>
      <c r="D8" s="9"/>
      <c r="E8" s="9"/>
      <c r="F8" s="77"/>
      <c r="G8" s="77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86"/>
      <c r="V8" s="85"/>
      <c r="W8" s="85"/>
      <c r="X8" s="85"/>
      <c r="Y8" s="85"/>
      <c r="Z8" s="85"/>
      <c r="AA8" s="85"/>
      <c r="AB8" s="44"/>
    </row>
    <row r="9" spans="2:28" ht="21" x14ac:dyDescent="0.35">
      <c r="B9" s="60" t="s">
        <v>2</v>
      </c>
      <c r="C9" s="13">
        <v>238</v>
      </c>
      <c r="D9" s="9"/>
      <c r="E9" s="9"/>
      <c r="F9" s="65" t="s">
        <v>39</v>
      </c>
      <c r="G9" s="21">
        <f>VLOOKUP(C13,L12:T42,6)</f>
        <v>9</v>
      </c>
      <c r="H9" s="21">
        <f>VLOOKUP(C13,L12:T42,7)</f>
        <v>7</v>
      </c>
      <c r="I9" s="21">
        <f>VLOOKUP(C13,L12:T42,8)</f>
        <v>5</v>
      </c>
      <c r="J9" s="21">
        <f>VLOOKUP(C13,L12:T42,9)</f>
        <v>3</v>
      </c>
      <c r="K9" s="65"/>
      <c r="L9" s="79"/>
      <c r="M9" s="87" t="s">
        <v>31</v>
      </c>
      <c r="N9" s="87"/>
      <c r="O9" s="87"/>
      <c r="P9" s="87"/>
      <c r="Q9" s="87"/>
      <c r="R9" s="87"/>
      <c r="S9" s="87"/>
      <c r="T9" s="87"/>
      <c r="U9" s="86"/>
      <c r="V9" s="85"/>
      <c r="W9" s="85"/>
      <c r="X9" s="85"/>
      <c r="Y9" s="85"/>
      <c r="Z9" s="85"/>
      <c r="AA9" s="85"/>
      <c r="AB9" s="44"/>
    </row>
    <row r="10" spans="2:28" ht="21" x14ac:dyDescent="0.35">
      <c r="B10" s="60" t="s">
        <v>3</v>
      </c>
      <c r="C10" s="64" t="s">
        <v>26</v>
      </c>
      <c r="D10" s="80"/>
      <c r="E10" s="9"/>
      <c r="F10" s="77"/>
      <c r="G10" s="77"/>
      <c r="H10" s="65"/>
      <c r="I10" s="65"/>
      <c r="J10" s="65"/>
      <c r="K10" s="65"/>
      <c r="L10" s="79"/>
      <c r="M10" s="87" t="s">
        <v>32</v>
      </c>
      <c r="N10" s="87"/>
      <c r="O10" s="87"/>
      <c r="P10" s="87"/>
      <c r="Q10" s="87" t="s">
        <v>33</v>
      </c>
      <c r="R10" s="87"/>
      <c r="S10" s="87"/>
      <c r="T10" s="87"/>
      <c r="U10" s="86"/>
      <c r="V10" s="85"/>
      <c r="W10" s="85"/>
      <c r="X10" s="85"/>
      <c r="Y10" s="85"/>
      <c r="Z10" s="85"/>
      <c r="AA10" s="85"/>
      <c r="AB10" s="44"/>
    </row>
    <row r="11" spans="2:28" ht="21" x14ac:dyDescent="0.35">
      <c r="B11" s="60" t="s">
        <v>30</v>
      </c>
      <c r="C11" s="64">
        <v>8</v>
      </c>
      <c r="D11" s="80"/>
      <c r="E11" s="9"/>
      <c r="F11" s="77"/>
      <c r="G11" s="77"/>
      <c r="H11" s="65"/>
      <c r="I11" s="65"/>
      <c r="J11" s="65"/>
      <c r="K11" s="65"/>
      <c r="L11" s="83" t="s">
        <v>34</v>
      </c>
      <c r="M11" s="83" t="s">
        <v>35</v>
      </c>
      <c r="N11" s="83" t="s">
        <v>36</v>
      </c>
      <c r="O11" s="83" t="s">
        <v>37</v>
      </c>
      <c r="P11" s="83" t="s">
        <v>38</v>
      </c>
      <c r="Q11" s="83" t="s">
        <v>35</v>
      </c>
      <c r="R11" s="83" t="s">
        <v>36</v>
      </c>
      <c r="S11" s="83" t="s">
        <v>37</v>
      </c>
      <c r="T11" s="83" t="s">
        <v>38</v>
      </c>
      <c r="U11" s="86"/>
      <c r="V11" s="85"/>
      <c r="W11" s="85"/>
      <c r="X11" s="85"/>
      <c r="Y11" s="85"/>
      <c r="Z11" s="85"/>
      <c r="AA11" s="85"/>
      <c r="AB11" s="44"/>
    </row>
    <row r="12" spans="2:28" ht="21" x14ac:dyDescent="0.35">
      <c r="B12" s="60"/>
      <c r="C12" s="60"/>
      <c r="D12" s="9"/>
      <c r="E12" s="9" t="s">
        <v>18</v>
      </c>
      <c r="F12" s="77"/>
      <c r="G12" s="77"/>
      <c r="H12" s="65"/>
      <c r="I12" s="65"/>
      <c r="J12" s="65"/>
      <c r="K12" s="65"/>
      <c r="L12" s="83">
        <v>20</v>
      </c>
      <c r="M12" s="66">
        <v>100</v>
      </c>
      <c r="N12" s="66">
        <v>80</v>
      </c>
      <c r="O12" s="66">
        <v>60</v>
      </c>
      <c r="P12" s="66">
        <v>40</v>
      </c>
      <c r="Q12" s="66">
        <v>7</v>
      </c>
      <c r="R12" s="66">
        <v>5</v>
      </c>
      <c r="S12" s="66">
        <v>3</v>
      </c>
      <c r="T12" s="66">
        <v>1</v>
      </c>
      <c r="U12" s="86"/>
      <c r="V12" s="85"/>
      <c r="W12" s="85"/>
      <c r="X12" s="85"/>
      <c r="Y12" s="85"/>
      <c r="Z12" s="85"/>
      <c r="AA12" s="85"/>
      <c r="AB12" s="44"/>
    </row>
    <row r="13" spans="2:28" ht="21" x14ac:dyDescent="0.35">
      <c r="B13" s="60" t="s">
        <v>4</v>
      </c>
      <c r="C13" s="13">
        <v>50</v>
      </c>
      <c r="D13" s="42" t="str">
        <f>IF(C13&gt;55,"Are you sure?", "")</f>
        <v/>
      </c>
      <c r="E13" s="9"/>
      <c r="F13" s="77"/>
      <c r="G13" s="77"/>
      <c r="H13" s="65"/>
      <c r="I13" s="65"/>
      <c r="J13" s="65"/>
      <c r="K13" s="65"/>
      <c r="L13" s="83">
        <v>21</v>
      </c>
      <c r="M13" s="66">
        <v>105</v>
      </c>
      <c r="N13" s="66">
        <v>84</v>
      </c>
      <c r="O13" s="66">
        <v>63</v>
      </c>
      <c r="P13" s="66">
        <v>42</v>
      </c>
      <c r="Q13" s="66">
        <v>7</v>
      </c>
      <c r="R13" s="66">
        <v>5</v>
      </c>
      <c r="S13" s="66">
        <v>3</v>
      </c>
      <c r="T13" s="66">
        <v>1</v>
      </c>
      <c r="U13" s="86"/>
      <c r="V13" s="85"/>
      <c r="W13" s="85"/>
      <c r="X13" s="85"/>
      <c r="Y13" s="85"/>
      <c r="Z13" s="85"/>
      <c r="AA13" s="85"/>
      <c r="AB13" s="44"/>
    </row>
    <row r="14" spans="2:28" ht="21" x14ac:dyDescent="0.35">
      <c r="B14" s="60" t="s">
        <v>5</v>
      </c>
      <c r="C14" s="14">
        <v>50</v>
      </c>
      <c r="D14" s="42" t="str">
        <f>IF(E16&gt;C13,"check overs","")</f>
        <v/>
      </c>
      <c r="E14" s="9"/>
      <c r="F14" s="77"/>
      <c r="G14" s="77"/>
      <c r="H14" s="65"/>
      <c r="I14" s="65"/>
      <c r="J14" s="65"/>
      <c r="K14" s="65"/>
      <c r="L14" s="83">
        <v>22</v>
      </c>
      <c r="M14" s="66">
        <v>110</v>
      </c>
      <c r="N14" s="66">
        <v>88</v>
      </c>
      <c r="O14" s="66">
        <v>66</v>
      </c>
      <c r="P14" s="66">
        <v>44</v>
      </c>
      <c r="Q14" s="66">
        <v>7</v>
      </c>
      <c r="R14" s="66">
        <v>5</v>
      </c>
      <c r="S14" s="66">
        <v>3</v>
      </c>
      <c r="T14" s="66">
        <v>1</v>
      </c>
      <c r="U14" s="86"/>
      <c r="V14" s="85"/>
      <c r="W14" s="85"/>
      <c r="X14" s="85"/>
      <c r="Y14" s="85"/>
      <c r="Z14" s="85"/>
      <c r="AA14" s="85"/>
      <c r="AB14" s="44"/>
    </row>
    <row r="15" spans="2:28" ht="21" x14ac:dyDescent="0.35">
      <c r="B15" s="60" t="s">
        <v>6</v>
      </c>
      <c r="C15" s="14">
        <v>0</v>
      </c>
      <c r="D15" s="7">
        <f>IF(C15=1,0.16666,IF(C15=2,0.33333,IF(C15=3,0.5,IF(C15=4,0.66666,IF(C15=5,0.83333,0)))))</f>
        <v>0</v>
      </c>
      <c r="E15" s="9"/>
      <c r="F15" s="77"/>
      <c r="G15" s="77"/>
      <c r="H15" s="65"/>
      <c r="I15" s="65"/>
      <c r="J15" s="65"/>
      <c r="K15" s="65"/>
      <c r="L15" s="83">
        <v>23</v>
      </c>
      <c r="M15" s="66">
        <v>115</v>
      </c>
      <c r="N15" s="66">
        <v>92</v>
      </c>
      <c r="O15" s="66">
        <v>69</v>
      </c>
      <c r="P15" s="66">
        <v>46</v>
      </c>
      <c r="Q15" s="66">
        <v>7</v>
      </c>
      <c r="R15" s="66">
        <v>5</v>
      </c>
      <c r="S15" s="66">
        <v>3</v>
      </c>
      <c r="T15" s="66">
        <v>1</v>
      </c>
      <c r="U15" s="86"/>
      <c r="V15" s="85"/>
      <c r="W15" s="85"/>
      <c r="X15" s="85"/>
      <c r="Y15" s="85"/>
      <c r="Z15" s="85"/>
      <c r="AA15" s="85"/>
      <c r="AB15" s="44"/>
    </row>
    <row r="16" spans="2:28" ht="21" x14ac:dyDescent="0.35">
      <c r="B16" s="63">
        <f>C14+D15</f>
        <v>50</v>
      </c>
      <c r="C16" s="63">
        <f>IF(C10="y",C9/C13,IF(C10="yes",C9/C13,C9/E16))</f>
        <v>4.76</v>
      </c>
      <c r="D16" s="80"/>
      <c r="E16" s="7">
        <f>C14+D15</f>
        <v>50</v>
      </c>
      <c r="F16" s="77"/>
      <c r="G16" s="77"/>
      <c r="H16" s="65"/>
      <c r="I16" s="65"/>
      <c r="J16" s="65"/>
      <c r="K16" s="65"/>
      <c r="L16" s="83">
        <v>24</v>
      </c>
      <c r="M16" s="66">
        <v>120</v>
      </c>
      <c r="N16" s="66">
        <v>96</v>
      </c>
      <c r="O16" s="66">
        <v>72</v>
      </c>
      <c r="P16" s="66">
        <v>48</v>
      </c>
      <c r="Q16" s="66">
        <v>7</v>
      </c>
      <c r="R16" s="66">
        <v>5</v>
      </c>
      <c r="S16" s="66">
        <v>3</v>
      </c>
      <c r="T16" s="66">
        <v>1</v>
      </c>
      <c r="U16" s="86"/>
      <c r="V16" s="85"/>
      <c r="W16" s="85"/>
      <c r="X16" s="85"/>
      <c r="Y16" s="85"/>
      <c r="Z16" s="85"/>
      <c r="AA16" s="85"/>
      <c r="AB16" s="44"/>
    </row>
    <row r="17" spans="2:28" ht="21" x14ac:dyDescent="0.35">
      <c r="B17" s="60" t="s">
        <v>7</v>
      </c>
      <c r="C17" s="72">
        <f>ROUND(C16,5)</f>
        <v>4.76</v>
      </c>
      <c r="D17" s="80"/>
      <c r="E17" s="9"/>
      <c r="F17" s="77"/>
      <c r="G17" s="77"/>
      <c r="H17" s="65"/>
      <c r="I17" s="65"/>
      <c r="J17" s="65"/>
      <c r="K17" s="65"/>
      <c r="L17" s="83">
        <v>25</v>
      </c>
      <c r="M17" s="66">
        <v>125</v>
      </c>
      <c r="N17" s="66">
        <v>100</v>
      </c>
      <c r="O17" s="66">
        <v>75</v>
      </c>
      <c r="P17" s="66">
        <v>50</v>
      </c>
      <c r="Q17" s="66">
        <v>7</v>
      </c>
      <c r="R17" s="66">
        <v>5</v>
      </c>
      <c r="S17" s="66">
        <v>3</v>
      </c>
      <c r="T17" s="66">
        <v>1</v>
      </c>
      <c r="U17" s="86"/>
      <c r="V17" s="85"/>
      <c r="W17" s="85"/>
      <c r="X17" s="85"/>
      <c r="Y17" s="85"/>
      <c r="Z17" s="85"/>
      <c r="AA17" s="85"/>
      <c r="AB17" s="44"/>
    </row>
    <row r="18" spans="2:28" ht="21" customHeight="1" x14ac:dyDescent="0.35">
      <c r="B18" s="61"/>
      <c r="C18" s="73"/>
      <c r="D18" s="81" t="str">
        <f>IF(C19&lt;20,"MUST BE AT LEAST 20 OVERS AVAILABLE","")</f>
        <v/>
      </c>
      <c r="E18" s="9"/>
      <c r="F18" s="77"/>
      <c r="G18" s="77"/>
      <c r="H18" s="65"/>
      <c r="I18" s="65"/>
      <c r="J18" s="65"/>
      <c r="K18" s="65"/>
      <c r="L18" s="83">
        <v>26</v>
      </c>
      <c r="M18" s="66">
        <v>130</v>
      </c>
      <c r="N18" s="66">
        <v>104</v>
      </c>
      <c r="O18" s="66">
        <v>78</v>
      </c>
      <c r="P18" s="66">
        <v>52</v>
      </c>
      <c r="Q18" s="66">
        <v>7</v>
      </c>
      <c r="R18" s="66">
        <v>5</v>
      </c>
      <c r="S18" s="66">
        <v>3</v>
      </c>
      <c r="T18" s="66">
        <v>1</v>
      </c>
      <c r="U18" s="86"/>
      <c r="V18" s="85"/>
      <c r="W18" s="85"/>
      <c r="X18" s="85"/>
      <c r="Y18" s="85"/>
      <c r="Z18" s="85"/>
      <c r="AA18" s="85"/>
      <c r="AB18" s="44"/>
    </row>
    <row r="19" spans="2:28" ht="21" x14ac:dyDescent="0.35">
      <c r="B19" s="60" t="s">
        <v>22</v>
      </c>
      <c r="C19" s="14">
        <v>50</v>
      </c>
      <c r="D19" s="42" t="str">
        <f>IF(C19&gt;C13,"Are you sure?","")</f>
        <v/>
      </c>
      <c r="E19" s="9"/>
      <c r="F19" s="77"/>
      <c r="G19" s="77"/>
      <c r="H19" s="65"/>
      <c r="I19" s="65"/>
      <c r="J19" s="65"/>
      <c r="K19" s="65"/>
      <c r="L19" s="83">
        <v>27</v>
      </c>
      <c r="M19" s="66">
        <v>135</v>
      </c>
      <c r="N19" s="66">
        <v>108</v>
      </c>
      <c r="O19" s="66">
        <v>81</v>
      </c>
      <c r="P19" s="66">
        <v>54</v>
      </c>
      <c r="Q19" s="66">
        <v>7</v>
      </c>
      <c r="R19" s="66">
        <v>5</v>
      </c>
      <c r="S19" s="66">
        <v>3</v>
      </c>
      <c r="T19" s="66">
        <v>1</v>
      </c>
      <c r="U19" s="86"/>
      <c r="V19" s="85"/>
      <c r="W19" s="85"/>
      <c r="X19" s="85"/>
      <c r="Y19" s="85"/>
      <c r="Z19" s="85"/>
      <c r="AA19" s="85"/>
      <c r="AB19" s="44"/>
    </row>
    <row r="20" spans="2:28" ht="21" x14ac:dyDescent="0.35">
      <c r="B20" s="62" t="s">
        <v>17</v>
      </c>
      <c r="C20" s="14">
        <v>0</v>
      </c>
      <c r="D20" s="7">
        <f>IF(C20=1,0.16666,IF(C20=2,0.33333,IF(C20=3,0.5,IF(C20=4,0.66666,IF(C20=5,0.83333,0)))))</f>
        <v>0</v>
      </c>
      <c r="E20" s="9"/>
      <c r="F20" s="77"/>
      <c r="G20" s="77"/>
      <c r="H20" s="65"/>
      <c r="I20" s="65"/>
      <c r="J20" s="65"/>
      <c r="K20" s="65"/>
      <c r="L20" s="83">
        <v>28</v>
      </c>
      <c r="M20" s="66">
        <v>140</v>
      </c>
      <c r="N20" s="66">
        <v>112</v>
      </c>
      <c r="O20" s="66">
        <v>84</v>
      </c>
      <c r="P20" s="66">
        <v>56</v>
      </c>
      <c r="Q20" s="66">
        <v>7</v>
      </c>
      <c r="R20" s="66">
        <v>5</v>
      </c>
      <c r="S20" s="66">
        <v>3</v>
      </c>
      <c r="T20" s="66">
        <v>1</v>
      </c>
      <c r="U20" s="86"/>
      <c r="V20" s="85"/>
      <c r="W20" s="85"/>
      <c r="X20" s="85"/>
      <c r="Y20" s="85"/>
      <c r="Z20" s="85"/>
      <c r="AA20" s="85"/>
      <c r="AB20" s="44"/>
    </row>
    <row r="21" spans="2:28" ht="21" x14ac:dyDescent="0.35">
      <c r="B21" s="60" t="s">
        <v>8</v>
      </c>
      <c r="C21" s="72">
        <f>IF(E21&gt;E16,0,E16-E21)</f>
        <v>0</v>
      </c>
      <c r="D21" s="9"/>
      <c r="E21" s="7">
        <f>D20+C19</f>
        <v>50</v>
      </c>
      <c r="F21" s="77"/>
      <c r="G21" s="77"/>
      <c r="H21" s="65"/>
      <c r="I21" s="65"/>
      <c r="J21" s="65"/>
      <c r="K21" s="65"/>
      <c r="L21" s="83">
        <v>29</v>
      </c>
      <c r="M21" s="66">
        <v>145</v>
      </c>
      <c r="N21" s="66">
        <v>116</v>
      </c>
      <c r="O21" s="66">
        <v>87</v>
      </c>
      <c r="P21" s="66">
        <v>58</v>
      </c>
      <c r="Q21" s="66">
        <v>7</v>
      </c>
      <c r="R21" s="66">
        <v>5</v>
      </c>
      <c r="S21" s="66">
        <v>3</v>
      </c>
      <c r="T21" s="66">
        <v>1</v>
      </c>
      <c r="U21" s="86"/>
      <c r="V21" s="85"/>
      <c r="W21" s="85"/>
      <c r="X21" s="85"/>
      <c r="Y21" s="85"/>
      <c r="Z21" s="85"/>
      <c r="AA21" s="85"/>
      <c r="AB21" s="44"/>
    </row>
    <row r="22" spans="2:28" ht="21" x14ac:dyDescent="0.35">
      <c r="B22" s="60" t="s">
        <v>9</v>
      </c>
      <c r="C22" s="74">
        <f>IF(C7="y",1.5,1.2)</f>
        <v>1.2</v>
      </c>
      <c r="D22" s="9"/>
      <c r="E22" s="9"/>
      <c r="F22" s="77"/>
      <c r="G22" s="77"/>
      <c r="H22" s="65"/>
      <c r="I22" s="65"/>
      <c r="J22" s="65"/>
      <c r="K22" s="65"/>
      <c r="L22" s="83">
        <v>30</v>
      </c>
      <c r="M22" s="66">
        <v>150</v>
      </c>
      <c r="N22" s="66">
        <v>120</v>
      </c>
      <c r="O22" s="66">
        <v>90</v>
      </c>
      <c r="P22" s="66">
        <v>60</v>
      </c>
      <c r="Q22" s="66">
        <v>7</v>
      </c>
      <c r="R22" s="66">
        <v>5</v>
      </c>
      <c r="S22" s="66">
        <v>3</v>
      </c>
      <c r="T22" s="66">
        <v>1</v>
      </c>
      <c r="U22" s="86"/>
      <c r="V22" s="85"/>
      <c r="W22" s="85"/>
      <c r="X22" s="85"/>
      <c r="Y22" s="85"/>
      <c r="Z22" s="85"/>
      <c r="AA22" s="85"/>
      <c r="AB22" s="44"/>
    </row>
    <row r="23" spans="2:28" ht="21" x14ac:dyDescent="0.4">
      <c r="B23" s="60"/>
      <c r="C23" s="76">
        <f>ABS(C21*C22)</f>
        <v>0</v>
      </c>
      <c r="D23" s="9"/>
      <c r="E23" s="9"/>
      <c r="F23" s="77"/>
      <c r="G23" s="77"/>
      <c r="H23" s="65"/>
      <c r="I23" s="65"/>
      <c r="J23" s="65"/>
      <c r="K23" s="65"/>
      <c r="L23" s="83">
        <v>31</v>
      </c>
      <c r="M23" s="66">
        <v>155</v>
      </c>
      <c r="N23" s="66">
        <v>124</v>
      </c>
      <c r="O23" s="66">
        <v>93</v>
      </c>
      <c r="P23" s="66">
        <v>62</v>
      </c>
      <c r="Q23" s="66">
        <v>8</v>
      </c>
      <c r="R23" s="66">
        <v>6</v>
      </c>
      <c r="S23" s="66">
        <v>4</v>
      </c>
      <c r="T23" s="66">
        <v>2</v>
      </c>
      <c r="U23" s="86"/>
      <c r="V23" s="85"/>
      <c r="W23" s="85"/>
      <c r="X23" s="85"/>
      <c r="Y23" s="85"/>
      <c r="Z23" s="85"/>
      <c r="AA23" s="85"/>
      <c r="AB23" s="44"/>
    </row>
    <row r="24" spans="2:28" ht="21" x14ac:dyDescent="0.4">
      <c r="B24" s="60" t="s">
        <v>10</v>
      </c>
      <c r="C24" s="75">
        <f>ROUND(C23,4)</f>
        <v>0</v>
      </c>
      <c r="D24" s="9"/>
      <c r="E24" s="9"/>
      <c r="F24" s="77"/>
      <c r="G24" s="77"/>
      <c r="H24" s="65"/>
      <c r="I24" s="65"/>
      <c r="J24" s="65"/>
      <c r="K24" s="65"/>
      <c r="L24" s="83">
        <v>32</v>
      </c>
      <c r="M24" s="66">
        <v>160</v>
      </c>
      <c r="N24" s="66">
        <v>128</v>
      </c>
      <c r="O24" s="66">
        <v>96</v>
      </c>
      <c r="P24" s="66">
        <v>64</v>
      </c>
      <c r="Q24" s="66">
        <v>8</v>
      </c>
      <c r="R24" s="66">
        <v>6</v>
      </c>
      <c r="S24" s="66">
        <v>4</v>
      </c>
      <c r="T24" s="66">
        <v>2</v>
      </c>
      <c r="U24" s="86"/>
      <c r="V24" s="85"/>
      <c r="W24" s="85"/>
      <c r="X24" s="85"/>
      <c r="Y24" s="85"/>
      <c r="Z24" s="85"/>
      <c r="AA24" s="85"/>
      <c r="AB24" s="44"/>
    </row>
    <row r="25" spans="2:28" ht="21" x14ac:dyDescent="0.4">
      <c r="B25" s="60"/>
      <c r="C25" s="63">
        <f>C17*(100+C24)/100</f>
        <v>4.76</v>
      </c>
      <c r="D25" s="9"/>
      <c r="E25" s="9"/>
      <c r="F25" s="77"/>
      <c r="G25" s="77"/>
      <c r="H25" s="65"/>
      <c r="I25" s="65"/>
      <c r="J25" s="65"/>
      <c r="K25" s="65"/>
      <c r="L25" s="83">
        <v>33</v>
      </c>
      <c r="M25" s="66">
        <v>165</v>
      </c>
      <c r="N25" s="66">
        <v>132</v>
      </c>
      <c r="O25" s="66">
        <v>99</v>
      </c>
      <c r="P25" s="66">
        <v>66</v>
      </c>
      <c r="Q25" s="66">
        <v>8</v>
      </c>
      <c r="R25" s="66">
        <v>6</v>
      </c>
      <c r="S25" s="66">
        <v>4</v>
      </c>
      <c r="T25" s="66">
        <v>2</v>
      </c>
      <c r="U25" s="86"/>
      <c r="V25" s="85"/>
      <c r="W25" s="85"/>
      <c r="X25" s="85"/>
      <c r="Y25" s="85"/>
      <c r="Z25" s="85"/>
      <c r="AA25" s="85"/>
      <c r="AB25" s="44"/>
    </row>
    <row r="26" spans="2:28" ht="21" x14ac:dyDescent="0.4">
      <c r="B26" s="60" t="s">
        <v>11</v>
      </c>
      <c r="C26" s="72">
        <f>ROUND(C25,5)</f>
        <v>4.76</v>
      </c>
      <c r="D26" s="9"/>
      <c r="E26" s="9"/>
      <c r="F26" s="77"/>
      <c r="G26" s="77"/>
      <c r="H26" s="65"/>
      <c r="I26" s="65"/>
      <c r="J26" s="65"/>
      <c r="K26" s="65"/>
      <c r="L26" s="83">
        <v>34</v>
      </c>
      <c r="M26" s="66">
        <v>170</v>
      </c>
      <c r="N26" s="66">
        <v>136</v>
      </c>
      <c r="O26" s="66">
        <v>102</v>
      </c>
      <c r="P26" s="66">
        <v>68</v>
      </c>
      <c r="Q26" s="66">
        <v>8</v>
      </c>
      <c r="R26" s="66">
        <v>6</v>
      </c>
      <c r="S26" s="66">
        <v>4</v>
      </c>
      <c r="T26" s="66">
        <v>2</v>
      </c>
      <c r="U26" s="86"/>
      <c r="V26" s="85"/>
      <c r="W26" s="85"/>
      <c r="X26" s="85"/>
      <c r="Y26" s="85"/>
      <c r="Z26" s="85"/>
      <c r="AA26" s="85"/>
      <c r="AB26" s="44"/>
    </row>
    <row r="27" spans="2:28" ht="14.25" customHeight="1" x14ac:dyDescent="0.4">
      <c r="B27" s="60"/>
      <c r="C27" s="60"/>
      <c r="D27" s="9"/>
      <c r="E27" s="9"/>
      <c r="F27" s="77"/>
      <c r="G27" s="77"/>
      <c r="H27" s="65"/>
      <c r="I27" s="65"/>
      <c r="J27" s="65"/>
      <c r="K27" s="65"/>
      <c r="L27" s="83">
        <v>35</v>
      </c>
      <c r="M27" s="66">
        <v>175</v>
      </c>
      <c r="N27" s="66">
        <v>140</v>
      </c>
      <c r="O27" s="66">
        <v>105</v>
      </c>
      <c r="P27" s="66">
        <v>70</v>
      </c>
      <c r="Q27" s="66">
        <v>8</v>
      </c>
      <c r="R27" s="66">
        <v>6</v>
      </c>
      <c r="S27" s="66">
        <v>4</v>
      </c>
      <c r="T27" s="66">
        <v>2</v>
      </c>
      <c r="U27" s="86"/>
      <c r="V27" s="85"/>
      <c r="W27" s="85"/>
      <c r="X27" s="85"/>
      <c r="Y27" s="85"/>
      <c r="Z27" s="85"/>
      <c r="AA27" s="85"/>
      <c r="AB27" s="44"/>
    </row>
    <row r="28" spans="2:28" ht="21" x14ac:dyDescent="0.4">
      <c r="B28" s="60" t="s">
        <v>12</v>
      </c>
      <c r="C28" s="72">
        <f>C19*C26</f>
        <v>238</v>
      </c>
      <c r="D28" s="19" t="str">
        <f>IF(D31&gt;C30,"Irrelevant - greater than runs to win","")</f>
        <v/>
      </c>
      <c r="E28" s="9"/>
      <c r="F28" s="77"/>
      <c r="G28" s="77"/>
      <c r="H28" s="65"/>
      <c r="I28" s="65"/>
      <c r="J28" s="65"/>
      <c r="K28" s="65"/>
      <c r="L28" s="83">
        <v>36</v>
      </c>
      <c r="M28" s="66">
        <v>180</v>
      </c>
      <c r="N28" s="66">
        <v>144</v>
      </c>
      <c r="O28" s="66">
        <v>108</v>
      </c>
      <c r="P28" s="66">
        <v>72</v>
      </c>
      <c r="Q28" s="66">
        <v>8</v>
      </c>
      <c r="R28" s="66">
        <v>6</v>
      </c>
      <c r="S28" s="66">
        <v>4</v>
      </c>
      <c r="T28" s="66">
        <v>2</v>
      </c>
      <c r="U28" s="86"/>
      <c r="V28" s="85"/>
      <c r="W28" s="85"/>
      <c r="X28" s="85"/>
      <c r="Y28" s="85"/>
      <c r="Z28" s="85"/>
      <c r="AA28" s="85"/>
      <c r="AB28" s="44"/>
    </row>
    <row r="29" spans="2:28" ht="21" x14ac:dyDescent="0.4">
      <c r="B29" s="60"/>
      <c r="C29" s="72"/>
      <c r="D29" s="8">
        <f>C28+0.001</f>
        <v>238.001</v>
      </c>
      <c r="E29" s="9"/>
      <c r="F29" s="77"/>
      <c r="G29" s="77"/>
      <c r="H29" s="65"/>
      <c r="I29" s="65"/>
      <c r="J29" s="65"/>
      <c r="K29" s="65"/>
      <c r="L29" s="83">
        <v>37</v>
      </c>
      <c r="M29" s="66">
        <v>185</v>
      </c>
      <c r="N29" s="66">
        <v>148</v>
      </c>
      <c r="O29" s="66">
        <v>111</v>
      </c>
      <c r="P29" s="66">
        <v>74</v>
      </c>
      <c r="Q29" s="66">
        <v>8</v>
      </c>
      <c r="R29" s="66">
        <v>6</v>
      </c>
      <c r="S29" s="66">
        <v>4</v>
      </c>
      <c r="T29" s="66">
        <v>2</v>
      </c>
      <c r="U29" s="86"/>
      <c r="V29" s="85"/>
      <c r="W29" s="85"/>
      <c r="X29" s="85"/>
      <c r="Y29" s="85"/>
      <c r="Z29" s="85"/>
      <c r="AA29" s="85"/>
      <c r="AB29" s="44"/>
    </row>
    <row r="30" spans="2:28" ht="27" customHeight="1" x14ac:dyDescent="0.6">
      <c r="B30" s="38" t="s">
        <v>20</v>
      </c>
      <c r="C30" s="41">
        <f>IF(C7="n",C9+1,ROUNDUP(D29,0))</f>
        <v>239</v>
      </c>
      <c r="D30" s="9"/>
      <c r="E30" s="9"/>
      <c r="F30" s="77"/>
      <c r="G30" s="77"/>
      <c r="H30" s="65"/>
      <c r="I30" s="65"/>
      <c r="J30" s="65"/>
      <c r="K30" s="65"/>
      <c r="L30" s="83">
        <v>38</v>
      </c>
      <c r="M30" s="66">
        <v>190</v>
      </c>
      <c r="N30" s="66">
        <v>152</v>
      </c>
      <c r="O30" s="66">
        <v>114</v>
      </c>
      <c r="P30" s="66">
        <v>76</v>
      </c>
      <c r="Q30" s="66">
        <v>8</v>
      </c>
      <c r="R30" s="66">
        <v>6</v>
      </c>
      <c r="S30" s="66">
        <v>4</v>
      </c>
      <c r="T30" s="66">
        <v>2</v>
      </c>
      <c r="U30" s="86"/>
      <c r="V30" s="85"/>
      <c r="W30" s="85"/>
      <c r="X30" s="85"/>
      <c r="Y30" s="85"/>
      <c r="Z30" s="85"/>
      <c r="AA30" s="85"/>
      <c r="AB30" s="44"/>
    </row>
    <row r="31" spans="2:28" ht="23.4" x14ac:dyDescent="0.45">
      <c r="B31" s="39" t="s">
        <v>21</v>
      </c>
      <c r="C31" s="17" t="str">
        <f>IF(D31&gt;=C30,"n/a",D31)</f>
        <v>n/a</v>
      </c>
      <c r="D31" s="8">
        <f>ROUNDUP(D29,0)</f>
        <v>239</v>
      </c>
      <c r="E31" s="9">
        <f>IF(E21&gt;=E16,1,0)</f>
        <v>1</v>
      </c>
      <c r="F31" s="77"/>
      <c r="G31" s="77"/>
      <c r="H31" s="65"/>
      <c r="I31" s="65"/>
      <c r="J31" s="65"/>
      <c r="K31" s="65"/>
      <c r="L31" s="83">
        <v>39</v>
      </c>
      <c r="M31" s="66">
        <v>195</v>
      </c>
      <c r="N31" s="66">
        <v>156</v>
      </c>
      <c r="O31" s="66">
        <v>117</v>
      </c>
      <c r="P31" s="66">
        <v>78</v>
      </c>
      <c r="Q31" s="66">
        <v>8</v>
      </c>
      <c r="R31" s="66">
        <v>6</v>
      </c>
      <c r="S31" s="66">
        <v>4</v>
      </c>
      <c r="T31" s="66">
        <v>2</v>
      </c>
      <c r="U31" s="86"/>
      <c r="V31" s="85"/>
      <c r="W31" s="85"/>
      <c r="X31" s="85"/>
      <c r="Y31" s="85"/>
      <c r="Z31" s="85"/>
      <c r="AA31" s="85"/>
      <c r="AB31" s="44"/>
    </row>
    <row r="32" spans="2:28" ht="25.5" customHeight="1" x14ac:dyDescent="0.4">
      <c r="B32" s="40" t="str">
        <f>IF(C4="b","80% target score for Losing Draw","Runs for a Losing Draw")</f>
        <v>80% target score for Losing Draw</v>
      </c>
      <c r="C32" s="15">
        <f>IF(D32&gt;=C30,"",IF(C7="n",ROUNDUP(D32,0),""))</f>
        <v>191</v>
      </c>
      <c r="D32" s="9">
        <f>IF(C4="b",C28*0.8,C28*0.8)</f>
        <v>190.4</v>
      </c>
      <c r="E32" s="9">
        <f>IF(C10="y",1,0)</f>
        <v>0</v>
      </c>
      <c r="F32" s="77"/>
      <c r="G32" s="77"/>
      <c r="H32" s="65"/>
      <c r="I32" s="65"/>
      <c r="J32" s="65"/>
      <c r="K32" s="65"/>
      <c r="L32" s="83">
        <v>40</v>
      </c>
      <c r="M32" s="66">
        <v>200</v>
      </c>
      <c r="N32" s="66">
        <v>160</v>
      </c>
      <c r="O32" s="66">
        <v>120</v>
      </c>
      <c r="P32" s="66">
        <v>80</v>
      </c>
      <c r="Q32" s="66">
        <v>8</v>
      </c>
      <c r="R32" s="66">
        <v>6</v>
      </c>
      <c r="S32" s="66">
        <v>4</v>
      </c>
      <c r="T32" s="66">
        <v>2</v>
      </c>
      <c r="U32" s="86"/>
      <c r="V32" s="85"/>
      <c r="W32" s="85"/>
      <c r="X32" s="85"/>
      <c r="Y32" s="85"/>
      <c r="Z32" s="85"/>
      <c r="AA32" s="85"/>
      <c r="AB32" s="44"/>
    </row>
    <row r="33" spans="1:28" ht="18" customHeight="1" x14ac:dyDescent="0.4">
      <c r="B33" s="10"/>
      <c r="C33" s="10"/>
      <c r="D33" s="9"/>
      <c r="E33" s="9">
        <f>E31+E32</f>
        <v>1</v>
      </c>
      <c r="F33" s="77"/>
      <c r="G33" s="77"/>
      <c r="H33" s="65"/>
      <c r="I33" s="65"/>
      <c r="J33" s="65"/>
      <c r="K33" s="65"/>
      <c r="L33" s="83">
        <v>41</v>
      </c>
      <c r="M33" s="66">
        <v>205</v>
      </c>
      <c r="N33" s="66">
        <v>164</v>
      </c>
      <c r="O33" s="66">
        <v>123</v>
      </c>
      <c r="P33" s="66">
        <v>82</v>
      </c>
      <c r="Q33" s="66">
        <v>9</v>
      </c>
      <c r="R33" s="66">
        <v>7</v>
      </c>
      <c r="S33" s="66">
        <v>5</v>
      </c>
      <c r="T33" s="66">
        <v>3</v>
      </c>
      <c r="U33" s="86"/>
      <c r="V33" s="85"/>
      <c r="W33" s="85"/>
      <c r="X33" s="85"/>
      <c r="Y33" s="85"/>
      <c r="Z33" s="85"/>
      <c r="AA33" s="85"/>
      <c r="AB33" s="44"/>
    </row>
    <row r="34" spans="1:28" ht="21" x14ac:dyDescent="0.4">
      <c r="A34" s="30"/>
      <c r="B34" s="31" t="s">
        <v>13</v>
      </c>
      <c r="C34" s="32"/>
      <c r="D34" s="9"/>
      <c r="E34" s="9"/>
      <c r="F34" s="77"/>
      <c r="G34" s="77"/>
      <c r="H34" s="65"/>
      <c r="I34" s="65"/>
      <c r="J34" s="65"/>
      <c r="K34" s="65"/>
      <c r="L34" s="83">
        <v>42</v>
      </c>
      <c r="M34" s="66">
        <v>210</v>
      </c>
      <c r="N34" s="66">
        <v>168</v>
      </c>
      <c r="O34" s="66">
        <v>126</v>
      </c>
      <c r="P34" s="66">
        <v>84</v>
      </c>
      <c r="Q34" s="66">
        <v>9</v>
      </c>
      <c r="R34" s="66">
        <v>7</v>
      </c>
      <c r="S34" s="66">
        <v>5</v>
      </c>
      <c r="T34" s="66">
        <v>3</v>
      </c>
      <c r="U34" s="86"/>
      <c r="V34" s="85"/>
      <c r="W34" s="85"/>
      <c r="X34" s="85"/>
      <c r="Y34" s="85"/>
      <c r="Z34" s="85"/>
      <c r="AA34" s="85"/>
      <c r="AB34" s="44"/>
    </row>
    <row r="35" spans="1:28" ht="9.75" customHeight="1" x14ac:dyDescent="0.4">
      <c r="A35" s="30"/>
      <c r="B35" s="32"/>
      <c r="C35" s="32"/>
      <c r="D35" s="9"/>
      <c r="E35" s="9"/>
      <c r="F35" s="77"/>
      <c r="G35" s="77"/>
      <c r="H35" s="65"/>
      <c r="I35" s="65"/>
      <c r="J35" s="65"/>
      <c r="K35" s="65"/>
      <c r="L35" s="83">
        <v>43</v>
      </c>
      <c r="M35" s="66">
        <v>215</v>
      </c>
      <c r="N35" s="66">
        <v>172</v>
      </c>
      <c r="O35" s="66">
        <v>129</v>
      </c>
      <c r="P35" s="66">
        <v>86</v>
      </c>
      <c r="Q35" s="66">
        <v>9</v>
      </c>
      <c r="R35" s="66">
        <v>7</v>
      </c>
      <c r="S35" s="66">
        <v>5</v>
      </c>
      <c r="T35" s="66">
        <v>3</v>
      </c>
      <c r="U35" s="86"/>
      <c r="V35" s="85"/>
      <c r="W35" s="85"/>
      <c r="X35" s="85"/>
      <c r="Y35" s="85"/>
      <c r="Z35" s="85"/>
      <c r="AA35" s="85"/>
      <c r="AB35" s="44"/>
    </row>
    <row r="36" spans="1:28" ht="21" x14ac:dyDescent="0.4">
      <c r="A36" s="30"/>
      <c r="B36" s="32" t="s">
        <v>14</v>
      </c>
      <c r="C36" s="20">
        <v>20</v>
      </c>
      <c r="D36" s="42" t="str">
        <f>IF(C36&gt;C19,"Check overs","")</f>
        <v/>
      </c>
      <c r="E36" s="9"/>
      <c r="F36" s="77"/>
      <c r="G36" s="77"/>
      <c r="H36" s="65"/>
      <c r="I36" s="65"/>
      <c r="J36" s="65"/>
      <c r="K36" s="65"/>
      <c r="L36" s="83">
        <v>44</v>
      </c>
      <c r="M36" s="66">
        <v>220</v>
      </c>
      <c r="N36" s="66">
        <v>176</v>
      </c>
      <c r="O36" s="66">
        <v>132</v>
      </c>
      <c r="P36" s="66">
        <v>88</v>
      </c>
      <c r="Q36" s="66">
        <v>9</v>
      </c>
      <c r="R36" s="66">
        <v>7</v>
      </c>
      <c r="S36" s="66">
        <v>5</v>
      </c>
      <c r="T36" s="66">
        <v>3</v>
      </c>
      <c r="U36" s="86"/>
      <c r="V36" s="85"/>
      <c r="W36" s="85"/>
      <c r="X36" s="85"/>
      <c r="Y36" s="85"/>
      <c r="Z36" s="85"/>
      <c r="AA36" s="85"/>
      <c r="AB36" s="44"/>
    </row>
    <row r="37" spans="1:28" ht="18.75" customHeight="1" x14ac:dyDescent="0.4">
      <c r="A37" s="30"/>
      <c r="B37" s="33" t="str">
        <f>IF(C36&lt;20,"MUST BE AT LEAST 20 OVERS AVAILABLE","")</f>
        <v/>
      </c>
      <c r="C37" s="34"/>
      <c r="D37" s="9"/>
      <c r="E37" s="9"/>
      <c r="F37" s="77"/>
      <c r="G37" s="77"/>
      <c r="H37" s="65"/>
      <c r="I37" s="65"/>
      <c r="J37" s="65"/>
      <c r="K37" s="65"/>
      <c r="L37" s="83">
        <v>45</v>
      </c>
      <c r="M37" s="66">
        <v>225</v>
      </c>
      <c r="N37" s="66">
        <v>180</v>
      </c>
      <c r="O37" s="66">
        <v>135</v>
      </c>
      <c r="P37" s="66">
        <v>90</v>
      </c>
      <c r="Q37" s="66">
        <v>9</v>
      </c>
      <c r="R37" s="66">
        <v>7</v>
      </c>
      <c r="S37" s="66">
        <v>5</v>
      </c>
      <c r="T37" s="66">
        <v>3</v>
      </c>
      <c r="U37" s="86"/>
      <c r="V37" s="85"/>
      <c r="W37" s="85"/>
      <c r="X37" s="85"/>
      <c r="Y37" s="85"/>
      <c r="Z37" s="85"/>
      <c r="AA37" s="85"/>
      <c r="AB37" s="44"/>
    </row>
    <row r="38" spans="1:28" ht="21" x14ac:dyDescent="0.4">
      <c r="A38" s="30"/>
      <c r="B38" s="32" t="s">
        <v>15</v>
      </c>
      <c r="C38" s="35">
        <f>C36*C26</f>
        <v>95.199999999999989</v>
      </c>
      <c r="D38" s="16">
        <f>C38+0.001</f>
        <v>95.200999999999993</v>
      </c>
      <c r="E38" s="9"/>
      <c r="F38" s="77"/>
      <c r="G38" s="77"/>
      <c r="H38" s="65"/>
      <c r="I38" s="65"/>
      <c r="J38" s="65"/>
      <c r="K38" s="65"/>
      <c r="L38" s="83">
        <v>46</v>
      </c>
      <c r="M38" s="66">
        <v>230</v>
      </c>
      <c r="N38" s="66">
        <v>184</v>
      </c>
      <c r="O38" s="66">
        <v>138</v>
      </c>
      <c r="P38" s="66">
        <v>92</v>
      </c>
      <c r="Q38" s="66">
        <v>9</v>
      </c>
      <c r="R38" s="66">
        <v>7</v>
      </c>
      <c r="S38" s="66">
        <v>5</v>
      </c>
      <c r="T38" s="66">
        <v>3</v>
      </c>
      <c r="U38" s="86"/>
      <c r="V38" s="85"/>
      <c r="W38" s="85"/>
      <c r="X38" s="85"/>
      <c r="Y38" s="85"/>
      <c r="Z38" s="85"/>
      <c r="AA38" s="85"/>
      <c r="AB38" s="44"/>
    </row>
    <row r="39" spans="1:28" ht="13.5" customHeight="1" x14ac:dyDescent="0.4">
      <c r="A39" s="30"/>
      <c r="B39" s="32"/>
      <c r="C39" s="32"/>
      <c r="D39" s="9"/>
      <c r="E39" s="9"/>
      <c r="F39" s="77"/>
      <c r="G39" s="77"/>
      <c r="H39" s="65"/>
      <c r="I39" s="65"/>
      <c r="J39" s="65"/>
      <c r="K39" s="65"/>
      <c r="L39" s="83">
        <v>47</v>
      </c>
      <c r="M39" s="66">
        <v>235</v>
      </c>
      <c r="N39" s="66">
        <v>188</v>
      </c>
      <c r="O39" s="66">
        <v>141</v>
      </c>
      <c r="P39" s="66">
        <v>94</v>
      </c>
      <c r="Q39" s="66">
        <v>9</v>
      </c>
      <c r="R39" s="66">
        <v>7</v>
      </c>
      <c r="S39" s="66">
        <v>5</v>
      </c>
      <c r="T39" s="66">
        <v>3</v>
      </c>
      <c r="U39" s="86"/>
      <c r="V39" s="85"/>
      <c r="W39" s="85"/>
      <c r="X39" s="85"/>
      <c r="Y39" s="85"/>
      <c r="Z39" s="85"/>
      <c r="AA39" s="85"/>
      <c r="AB39" s="44"/>
    </row>
    <row r="40" spans="1:28" ht="28.8" x14ac:dyDescent="0.55000000000000004">
      <c r="A40" s="30"/>
      <c r="B40" s="59" t="str">
        <f>IF(C7="n","Revised Runs for a Winning Draw","Revised Runs for a Win")</f>
        <v>Revised Runs for a Winning Draw</v>
      </c>
      <c r="C40" s="36">
        <f>ROUNDUP(D38,0)</f>
        <v>96</v>
      </c>
      <c r="D40" s="9"/>
      <c r="E40" s="9"/>
      <c r="F40" s="77"/>
      <c r="G40" s="77"/>
      <c r="H40" s="65"/>
      <c r="I40" s="65"/>
      <c r="J40" s="65"/>
      <c r="K40" s="65"/>
      <c r="L40" s="83">
        <v>48</v>
      </c>
      <c r="M40" s="66">
        <v>240</v>
      </c>
      <c r="N40" s="66">
        <v>192</v>
      </c>
      <c r="O40" s="66">
        <v>144</v>
      </c>
      <c r="P40" s="66">
        <v>96</v>
      </c>
      <c r="Q40" s="66">
        <v>9</v>
      </c>
      <c r="R40" s="66">
        <v>7</v>
      </c>
      <c r="S40" s="66">
        <v>5</v>
      </c>
      <c r="T40" s="66">
        <v>3</v>
      </c>
      <c r="U40" s="86"/>
      <c r="V40" s="85"/>
      <c r="W40" s="85"/>
      <c r="X40" s="85"/>
      <c r="Y40" s="85"/>
      <c r="Z40" s="85"/>
      <c r="AA40" s="85"/>
      <c r="AB40" s="44"/>
    </row>
    <row r="41" spans="1:28" ht="24.75" customHeight="1" x14ac:dyDescent="0.4">
      <c r="A41" s="30"/>
      <c r="B41" s="37" t="str">
        <f>IF(C7="y","",IF(C4="b","Revised 80% target","Revised Runs for a Losing Draw"))</f>
        <v>Revised 80% target</v>
      </c>
      <c r="C41" s="37">
        <f>IF(C7="n",ROUNDUP(D41,0),"")</f>
        <v>77</v>
      </c>
      <c r="D41" s="9">
        <f>IF(C4="b",C38*0.8,C38*0.8)</f>
        <v>76.16</v>
      </c>
      <c r="E41" s="9"/>
      <c r="F41" s="77"/>
      <c r="G41" s="77"/>
      <c r="H41" s="65"/>
      <c r="I41" s="65"/>
      <c r="J41" s="65"/>
      <c r="K41" s="65"/>
      <c r="L41" s="83">
        <v>49</v>
      </c>
      <c r="M41" s="66">
        <v>245</v>
      </c>
      <c r="N41" s="66">
        <v>196</v>
      </c>
      <c r="O41" s="66">
        <v>147</v>
      </c>
      <c r="P41" s="66">
        <v>98</v>
      </c>
      <c r="Q41" s="66">
        <v>9</v>
      </c>
      <c r="R41" s="66">
        <v>7</v>
      </c>
      <c r="S41" s="66">
        <v>5</v>
      </c>
      <c r="T41" s="66">
        <v>3</v>
      </c>
      <c r="U41" s="86"/>
      <c r="V41" s="85"/>
      <c r="W41" s="85"/>
      <c r="X41" s="85"/>
      <c r="Y41" s="85"/>
      <c r="Z41" s="85"/>
      <c r="AA41" s="85"/>
      <c r="AB41" s="44"/>
    </row>
    <row r="42" spans="1:28" ht="21" x14ac:dyDescent="0.4">
      <c r="B42" s="1"/>
      <c r="C42" s="1"/>
      <c r="D42" s="9"/>
      <c r="E42" s="9"/>
      <c r="F42" s="77"/>
      <c r="G42" s="77"/>
      <c r="H42" s="65"/>
      <c r="I42" s="65"/>
      <c r="J42" s="65"/>
      <c r="K42" s="65"/>
      <c r="L42" s="83">
        <v>50</v>
      </c>
      <c r="M42" s="66">
        <v>250</v>
      </c>
      <c r="N42" s="66">
        <v>200</v>
      </c>
      <c r="O42" s="66">
        <v>150</v>
      </c>
      <c r="P42" s="66">
        <v>100</v>
      </c>
      <c r="Q42" s="66">
        <v>9</v>
      </c>
      <c r="R42" s="66">
        <v>7</v>
      </c>
      <c r="S42" s="66">
        <v>5</v>
      </c>
      <c r="T42" s="66">
        <v>3</v>
      </c>
      <c r="U42" s="86"/>
      <c r="V42" s="85"/>
      <c r="W42" s="85"/>
      <c r="X42" s="85"/>
      <c r="Y42" s="85"/>
      <c r="Z42" s="85"/>
      <c r="AA42" s="85"/>
      <c r="AB42" s="44"/>
    </row>
    <row r="43" spans="1:28" ht="21" x14ac:dyDescent="0.4">
      <c r="A43" s="22"/>
      <c r="B43" s="23" t="s">
        <v>25</v>
      </c>
      <c r="C43" s="24"/>
      <c r="D43" s="9"/>
      <c r="E43" s="9"/>
      <c r="F43" s="77"/>
      <c r="G43" s="77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86"/>
      <c r="V43" s="85"/>
      <c r="W43" s="85"/>
      <c r="X43" s="85"/>
      <c r="Y43" s="85"/>
      <c r="Z43" s="85"/>
      <c r="AA43" s="85"/>
      <c r="AB43" s="44"/>
    </row>
    <row r="44" spans="1:28" ht="6" customHeight="1" x14ac:dyDescent="0.4">
      <c r="A44" s="22"/>
      <c r="B44" s="23"/>
      <c r="C44" s="24"/>
      <c r="D44" s="9"/>
      <c r="E44" s="9"/>
      <c r="F44" s="77"/>
      <c r="G44" s="77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86"/>
      <c r="V44" s="85"/>
      <c r="W44" s="85"/>
      <c r="X44" s="85"/>
      <c r="Y44" s="85"/>
      <c r="Z44" s="85"/>
      <c r="AA44" s="85"/>
      <c r="AB44" s="44"/>
    </row>
    <row r="45" spans="1:28" ht="21" x14ac:dyDescent="0.4">
      <c r="A45" s="22"/>
      <c r="B45" s="24" t="s">
        <v>23</v>
      </c>
      <c r="C45" s="20">
        <v>20</v>
      </c>
      <c r="D45" s="43" t="str">
        <f>IF(C45&lt;20,"MUST BE AT LEAST 20 OVERS ","")</f>
        <v/>
      </c>
      <c r="E45" s="9"/>
      <c r="F45" s="77"/>
      <c r="G45" s="77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86"/>
      <c r="V45" s="85"/>
      <c r="W45" s="85"/>
      <c r="X45" s="85"/>
      <c r="Y45" s="85"/>
      <c r="Z45" s="85"/>
      <c r="AA45" s="85"/>
      <c r="AB45" s="44"/>
    </row>
    <row r="46" spans="1:28" ht="21" x14ac:dyDescent="0.4">
      <c r="A46" s="22"/>
      <c r="B46" s="24" t="s">
        <v>24</v>
      </c>
      <c r="C46" s="20">
        <v>0</v>
      </c>
      <c r="D46" s="7">
        <f>IF(C46=1,0.16666,IF(C46=2,0.33333,IF(C46=3,0.5,IF(C46=4,0.66666,IF(C46=5,0.83333,0)))))</f>
        <v>0</v>
      </c>
      <c r="E46" s="9"/>
      <c r="F46" s="9"/>
      <c r="G46" s="9"/>
      <c r="U46" s="85"/>
      <c r="V46" s="85"/>
      <c r="W46" s="85"/>
      <c r="X46" s="85"/>
      <c r="Y46" s="85"/>
      <c r="Z46" s="85"/>
      <c r="AA46" s="85"/>
      <c r="AB46" s="44"/>
    </row>
    <row r="47" spans="1:28" x14ac:dyDescent="0.3">
      <c r="A47" s="22"/>
      <c r="B47" s="22"/>
      <c r="C47" s="22"/>
      <c r="D47" s="18">
        <f>C45+D46</f>
        <v>20</v>
      </c>
      <c r="U47" s="85"/>
      <c r="V47" s="85"/>
      <c r="W47" s="85"/>
      <c r="X47" s="85"/>
      <c r="Y47" s="85"/>
      <c r="Z47" s="85"/>
      <c r="AA47" s="85"/>
      <c r="AB47" s="44"/>
    </row>
    <row r="48" spans="1:28" s="1" customFormat="1" ht="21" x14ac:dyDescent="0.4">
      <c r="A48" s="24"/>
      <c r="B48" s="24" t="s">
        <v>15</v>
      </c>
      <c r="C48" s="28">
        <f>C26*D47</f>
        <v>95.199999999999989</v>
      </c>
      <c r="D48" s="7">
        <f>C48+0.001</f>
        <v>95.200999999999993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84"/>
      <c r="V48" s="84"/>
      <c r="W48" s="84"/>
      <c r="X48" s="84"/>
      <c r="Y48" s="84"/>
      <c r="Z48" s="84"/>
      <c r="AA48" s="84"/>
      <c r="AB48" s="45"/>
    </row>
    <row r="49" spans="1:28" x14ac:dyDescent="0.3">
      <c r="A49" s="22"/>
      <c r="B49" s="22"/>
      <c r="C49" s="29"/>
      <c r="D49" s="18"/>
      <c r="U49" s="85"/>
      <c r="V49" s="85"/>
      <c r="W49" s="85"/>
      <c r="X49" s="85"/>
      <c r="Y49" s="85"/>
      <c r="Z49" s="85"/>
      <c r="AA49" s="85"/>
      <c r="AB49" s="44"/>
    </row>
    <row r="50" spans="1:28" ht="24" customHeight="1" x14ac:dyDescent="0.55000000000000004">
      <c r="A50" s="22"/>
      <c r="B50" s="25" t="s">
        <v>27</v>
      </c>
      <c r="C50" s="71">
        <f>ROUNDUP(D48,0)</f>
        <v>96</v>
      </c>
      <c r="U50" s="85"/>
      <c r="V50" s="85"/>
      <c r="W50" s="85"/>
      <c r="X50" s="85"/>
      <c r="Y50" s="85"/>
      <c r="Z50" s="85"/>
      <c r="AA50" s="85"/>
      <c r="AB50" s="44"/>
    </row>
    <row r="51" spans="1:28" ht="18" x14ac:dyDescent="0.35">
      <c r="A51" s="22"/>
      <c r="B51" s="26" t="s">
        <v>28</v>
      </c>
      <c r="C51" s="58">
        <f>ROUNDUP(D51,0)</f>
        <v>77</v>
      </c>
      <c r="D51" s="19">
        <f>C25*D47*0.8+0.001</f>
        <v>76.161000000000001</v>
      </c>
      <c r="U51" s="85"/>
      <c r="V51" s="85"/>
      <c r="W51" s="85"/>
      <c r="X51" s="85"/>
      <c r="Y51" s="85"/>
      <c r="Z51" s="85"/>
      <c r="AA51" s="85"/>
      <c r="AB51" s="44"/>
    </row>
    <row r="52" spans="1:28" x14ac:dyDescent="0.3">
      <c r="C52" s="27"/>
      <c r="U52" s="85"/>
      <c r="V52" s="85"/>
      <c r="W52" s="85"/>
      <c r="X52" s="85"/>
      <c r="Y52" s="85"/>
      <c r="Z52" s="85"/>
      <c r="AA52" s="85"/>
      <c r="AB52" s="44"/>
    </row>
    <row r="53" spans="1:28" ht="23.25" customHeight="1" x14ac:dyDescent="0.45">
      <c r="B53" s="55" t="s">
        <v>31</v>
      </c>
      <c r="C53" s="46"/>
      <c r="U53" s="85"/>
      <c r="V53" s="85"/>
      <c r="W53" s="85"/>
      <c r="X53" s="85"/>
      <c r="Y53" s="85"/>
      <c r="Z53" s="85"/>
      <c r="AA53" s="85"/>
      <c r="AB53" s="44"/>
    </row>
    <row r="54" spans="1:28" x14ac:dyDescent="0.3">
      <c r="B54" s="46"/>
      <c r="C54" s="46"/>
      <c r="U54" s="85"/>
      <c r="V54" s="85"/>
      <c r="W54" s="85"/>
      <c r="X54" s="85"/>
      <c r="Y54" s="85"/>
      <c r="Z54" s="85"/>
      <c r="AA54" s="85"/>
      <c r="AB54" s="44"/>
    </row>
    <row r="55" spans="1:28" ht="21" x14ac:dyDescent="0.4">
      <c r="B55" s="47" t="s">
        <v>45</v>
      </c>
      <c r="C55" s="69">
        <v>238</v>
      </c>
      <c r="U55" s="85"/>
      <c r="V55" s="85"/>
      <c r="W55" s="85"/>
      <c r="X55" s="85"/>
      <c r="Y55" s="85"/>
      <c r="Z55" s="85"/>
      <c r="AA55" s="85"/>
      <c r="AB55" s="44"/>
    </row>
    <row r="56" spans="1:28" ht="18" x14ac:dyDescent="0.35">
      <c r="B56" s="48" t="s">
        <v>40</v>
      </c>
      <c r="C56" s="70" t="s">
        <v>26</v>
      </c>
      <c r="H56" s="65"/>
      <c r="I56" s="65"/>
      <c r="J56" s="65"/>
      <c r="U56" s="85"/>
      <c r="V56" s="85"/>
      <c r="W56" s="85"/>
      <c r="X56" s="85"/>
      <c r="Y56" s="85"/>
      <c r="Z56" s="85"/>
      <c r="AA56" s="85"/>
      <c r="AB56" s="44"/>
    </row>
    <row r="57" spans="1:28" ht="18" x14ac:dyDescent="0.35">
      <c r="B57" s="48" t="s">
        <v>30</v>
      </c>
      <c r="C57" s="69">
        <v>8</v>
      </c>
      <c r="F57" s="65" t="s">
        <v>30</v>
      </c>
      <c r="G57" s="82">
        <f>IF(C56="y",10,C57)</f>
        <v>8</v>
      </c>
      <c r="H57" s="65"/>
      <c r="I57" s="65"/>
      <c r="J57" s="65"/>
      <c r="U57" s="85"/>
      <c r="V57" s="85"/>
      <c r="W57" s="85"/>
      <c r="X57" s="85"/>
      <c r="Y57" s="85"/>
      <c r="Z57" s="85"/>
      <c r="AA57" s="85"/>
      <c r="AB57" s="44"/>
    </row>
    <row r="58" spans="1:28" ht="21" x14ac:dyDescent="0.4">
      <c r="B58" s="48" t="s">
        <v>34</v>
      </c>
      <c r="C58" s="69">
        <f>C13</f>
        <v>50</v>
      </c>
      <c r="F58" s="65" t="s">
        <v>39</v>
      </c>
      <c r="G58" s="21">
        <f>VLOOKUP(C58,L12:T42,6)</f>
        <v>9</v>
      </c>
      <c r="H58" s="21">
        <f>VLOOKUP(C58,L12:T42,7)</f>
        <v>7</v>
      </c>
      <c r="I58" s="21">
        <f>VLOOKUP(C58,L12:T42,8)</f>
        <v>5</v>
      </c>
      <c r="J58" s="21">
        <f>VLOOKUP(C58,L12:T42,9)</f>
        <v>3</v>
      </c>
      <c r="U58" s="85"/>
      <c r="V58" s="85"/>
      <c r="W58" s="85"/>
      <c r="X58" s="85"/>
      <c r="Y58" s="85"/>
      <c r="Z58" s="85"/>
      <c r="AA58" s="85"/>
      <c r="AB58" s="44"/>
    </row>
    <row r="59" spans="1:28" ht="18" x14ac:dyDescent="0.35">
      <c r="B59" s="48" t="s">
        <v>41</v>
      </c>
      <c r="C59" s="67">
        <v>50</v>
      </c>
      <c r="D59" s="19">
        <f>IF(C60=1,0.16666,IF(C60=2,0.33333,IF(C60=3,0.5,IF(C60=4,0.66666,IF(C60=5,0.83333,0)))))</f>
        <v>0</v>
      </c>
      <c r="U59" s="85"/>
      <c r="V59" s="85"/>
      <c r="W59" s="85"/>
      <c r="X59" s="85"/>
      <c r="Y59" s="85"/>
      <c r="Z59" s="85"/>
      <c r="AA59" s="85"/>
      <c r="AB59" s="44"/>
    </row>
    <row r="60" spans="1:28" ht="18" x14ac:dyDescent="0.35">
      <c r="B60" s="48" t="s">
        <v>42</v>
      </c>
      <c r="C60" s="67">
        <v>0</v>
      </c>
      <c r="D60" s="19">
        <f>C59+D59</f>
        <v>50</v>
      </c>
      <c r="U60" s="85"/>
      <c r="V60" s="85"/>
      <c r="W60" s="85"/>
      <c r="X60" s="85"/>
      <c r="Y60" s="85"/>
      <c r="Z60" s="85"/>
      <c r="AA60" s="85"/>
      <c r="AB60" s="44"/>
    </row>
    <row r="61" spans="1:28" ht="18" x14ac:dyDescent="0.35">
      <c r="B61" s="48" t="s">
        <v>43</v>
      </c>
      <c r="C61" s="52">
        <f>IF(C56="y",C55/C58,IF(C56="yes",C55/C58,C55/D60))</f>
        <v>4.76</v>
      </c>
      <c r="D61" s="19" t="str">
        <f>IF(D60&gt;C58,"CHECK OVERS","")</f>
        <v/>
      </c>
      <c r="U61" s="85"/>
      <c r="V61" s="85"/>
      <c r="W61" s="85"/>
      <c r="X61" s="85"/>
      <c r="Y61" s="85"/>
      <c r="Z61" s="85"/>
      <c r="AA61" s="85"/>
      <c r="AB61" s="44"/>
    </row>
    <row r="62" spans="1:28" ht="18" x14ac:dyDescent="0.35">
      <c r="B62" s="46"/>
      <c r="C62" s="51"/>
      <c r="U62" s="85"/>
      <c r="V62" s="85"/>
      <c r="W62" s="85"/>
      <c r="X62" s="85"/>
      <c r="Y62" s="85"/>
      <c r="Z62" s="85"/>
      <c r="AA62" s="85"/>
      <c r="AB62" s="44"/>
    </row>
    <row r="63" spans="1:28" ht="21" x14ac:dyDescent="0.4">
      <c r="B63" s="47" t="s">
        <v>44</v>
      </c>
      <c r="C63" s="67">
        <v>95</v>
      </c>
      <c r="U63" s="85"/>
      <c r="V63" s="85"/>
      <c r="W63" s="85"/>
      <c r="X63" s="85"/>
      <c r="Y63" s="85"/>
      <c r="Z63" s="85"/>
      <c r="AA63" s="85"/>
      <c r="AB63" s="44"/>
    </row>
    <row r="64" spans="1:28" ht="18" x14ac:dyDescent="0.35">
      <c r="B64" s="48" t="s">
        <v>40</v>
      </c>
      <c r="C64" s="68" t="s">
        <v>26</v>
      </c>
      <c r="U64" s="85"/>
      <c r="V64" s="85"/>
      <c r="W64" s="85"/>
      <c r="X64" s="85"/>
      <c r="Y64" s="85"/>
      <c r="Z64" s="85"/>
      <c r="AA64" s="85"/>
      <c r="AB64" s="44"/>
    </row>
    <row r="65" spans="2:28" ht="18" x14ac:dyDescent="0.35">
      <c r="B65" s="48" t="s">
        <v>30</v>
      </c>
      <c r="C65" s="67">
        <v>3</v>
      </c>
      <c r="F65" s="65" t="s">
        <v>30</v>
      </c>
      <c r="G65" s="78">
        <f>IF(C64="y",10,C65)</f>
        <v>3</v>
      </c>
      <c r="U65" s="85"/>
      <c r="V65" s="85"/>
      <c r="W65" s="85"/>
      <c r="X65" s="85"/>
      <c r="Y65" s="85"/>
      <c r="Z65" s="85"/>
      <c r="AA65" s="85"/>
      <c r="AB65" s="44"/>
    </row>
    <row r="66" spans="2:28" ht="21" x14ac:dyDescent="0.4">
      <c r="B66" s="48" t="s">
        <v>34</v>
      </c>
      <c r="C66" s="67">
        <v>20</v>
      </c>
      <c r="F66" s="19" t="s">
        <v>39</v>
      </c>
      <c r="G66" s="21">
        <f>VLOOKUP(C66,L12:T42,6)</f>
        <v>7</v>
      </c>
      <c r="H66" s="21">
        <f>VLOOKUP(C66,L12:T42,7)</f>
        <v>5</v>
      </c>
      <c r="I66" s="21">
        <f>VLOOKUP(C66,L12:T42,8)</f>
        <v>3</v>
      </c>
      <c r="J66" s="21">
        <f>VLOOKUP(C66,L12:T42,9)</f>
        <v>1</v>
      </c>
      <c r="U66" s="85"/>
      <c r="V66" s="85"/>
      <c r="W66" s="85"/>
      <c r="X66" s="85"/>
      <c r="Y66" s="85"/>
      <c r="Z66" s="85"/>
      <c r="AA66" s="85"/>
      <c r="AB66" s="44"/>
    </row>
    <row r="67" spans="2:28" ht="18" x14ac:dyDescent="0.35">
      <c r="B67" s="48" t="s">
        <v>41</v>
      </c>
      <c r="C67" s="67">
        <v>20</v>
      </c>
      <c r="D67" s="19">
        <f>IF(C68=1,0.16666,IF(C68=2,0.33333,IF(C68=3,0.5,IF(C68=4,0.66666,IF(C68=5,0.83333,0)))))</f>
        <v>0</v>
      </c>
      <c r="U67" s="85"/>
      <c r="V67" s="85"/>
      <c r="W67" s="85"/>
      <c r="X67" s="85"/>
      <c r="Y67" s="85"/>
      <c r="Z67" s="85"/>
      <c r="AA67" s="85"/>
      <c r="AB67" s="44"/>
    </row>
    <row r="68" spans="2:28" ht="18" x14ac:dyDescent="0.35">
      <c r="B68" s="48" t="s">
        <v>42</v>
      </c>
      <c r="C68" s="67">
        <v>0</v>
      </c>
      <c r="D68" s="19">
        <f>D67+C67</f>
        <v>20</v>
      </c>
      <c r="U68" s="85"/>
      <c r="V68" s="85"/>
      <c r="W68" s="85"/>
      <c r="X68" s="85"/>
      <c r="Y68" s="85"/>
      <c r="Z68" s="85"/>
      <c r="AA68" s="85"/>
      <c r="AB68" s="44"/>
    </row>
    <row r="69" spans="2:28" ht="18" x14ac:dyDescent="0.35">
      <c r="B69" s="48" t="s">
        <v>43</v>
      </c>
      <c r="C69" s="52">
        <f>IF(C64="y",C63/C66,IF(C64="yes",C63/C66,C63/D68))</f>
        <v>4.75</v>
      </c>
      <c r="D69" s="19" t="str">
        <f>IF(D68&gt;C66,"CHECK OVERS","")</f>
        <v/>
      </c>
      <c r="U69" s="85"/>
      <c r="V69" s="85"/>
      <c r="W69" s="85"/>
      <c r="X69" s="85"/>
      <c r="Y69" s="85"/>
      <c r="Z69" s="85"/>
      <c r="AA69" s="85"/>
      <c r="AB69" s="44"/>
    </row>
    <row r="70" spans="2:28" ht="18" x14ac:dyDescent="0.35">
      <c r="B70" s="46"/>
      <c r="C70" s="51"/>
      <c r="U70" s="85"/>
      <c r="V70" s="85"/>
      <c r="W70" s="85"/>
      <c r="X70" s="85"/>
      <c r="Y70" s="85"/>
      <c r="Z70" s="85"/>
      <c r="AA70" s="85"/>
      <c r="AB70" s="44"/>
    </row>
    <row r="71" spans="2:28" ht="18" x14ac:dyDescent="0.35">
      <c r="B71" s="49" t="s">
        <v>46</v>
      </c>
      <c r="C71" s="51"/>
      <c r="U71" s="85"/>
      <c r="V71" s="85"/>
      <c r="W71" s="85"/>
      <c r="X71" s="85"/>
      <c r="Y71" s="85"/>
      <c r="Z71" s="85"/>
      <c r="AA71" s="85"/>
      <c r="AB71" s="44"/>
    </row>
    <row r="72" spans="2:28" ht="18" x14ac:dyDescent="0.35">
      <c r="B72" s="48" t="s">
        <v>47</v>
      </c>
      <c r="C72" s="51">
        <f>IF(C59&lt;20,0, IF(C61&gt;=5,4,IF(C61&gt;=4,3,IF(C61&gt;=3,2,IF(C61&gt;=2,1,0)))))</f>
        <v>3</v>
      </c>
      <c r="U72" s="85"/>
      <c r="V72" s="85"/>
      <c r="W72" s="85"/>
      <c r="X72" s="85"/>
      <c r="Y72" s="85"/>
      <c r="Z72" s="85"/>
      <c r="AA72" s="85"/>
      <c r="AB72" s="44"/>
    </row>
    <row r="73" spans="2:28" ht="18.600000000000001" thickBot="1" x14ac:dyDescent="0.4">
      <c r="B73" s="48" t="s">
        <v>48</v>
      </c>
      <c r="C73" s="56">
        <f>IF(C67&lt;20,0, IF(C64="y",4,IF(C64="yes",4,IF(G65&gt;=G66,4,IF(G65&gt;=H66,3,IF(G65&gt;=I66,2,IF(G65&gt;=J66,1,0)))))))</f>
        <v>2</v>
      </c>
      <c r="U73" s="85"/>
      <c r="V73" s="85"/>
      <c r="W73" s="85"/>
      <c r="X73" s="85"/>
      <c r="Y73" s="85"/>
      <c r="Z73" s="85"/>
      <c r="AA73" s="85"/>
      <c r="AB73" s="44"/>
    </row>
    <row r="74" spans="2:28" ht="21.6" thickTop="1" x14ac:dyDescent="0.4">
      <c r="B74" s="53" t="s">
        <v>50</v>
      </c>
      <c r="C74" s="54">
        <f>C72+C73</f>
        <v>5</v>
      </c>
      <c r="U74" s="85"/>
      <c r="V74" s="85"/>
      <c r="W74" s="85"/>
      <c r="X74" s="85"/>
      <c r="Y74" s="85"/>
      <c r="Z74" s="85"/>
      <c r="AA74" s="85"/>
      <c r="AB74" s="44"/>
    </row>
    <row r="75" spans="2:28" x14ac:dyDescent="0.3">
      <c r="B75" s="50"/>
      <c r="C75" s="46"/>
      <c r="U75" s="85"/>
      <c r="V75" s="85"/>
      <c r="W75" s="85"/>
      <c r="X75" s="85"/>
      <c r="Y75" s="85"/>
      <c r="Z75" s="85"/>
      <c r="AA75" s="85"/>
      <c r="AB75" s="44"/>
    </row>
    <row r="76" spans="2:28" ht="15.6" x14ac:dyDescent="0.3">
      <c r="B76" s="49" t="s">
        <v>49</v>
      </c>
      <c r="C76" s="46"/>
      <c r="U76" s="85"/>
      <c r="V76" s="85"/>
      <c r="W76" s="85"/>
      <c r="X76" s="85"/>
      <c r="Y76" s="85"/>
      <c r="Z76" s="85"/>
      <c r="AA76" s="85"/>
      <c r="AB76" s="44"/>
    </row>
    <row r="77" spans="2:28" ht="15.6" x14ac:dyDescent="0.3">
      <c r="B77" s="48" t="s">
        <v>48</v>
      </c>
      <c r="C77" s="46">
        <f>IF(C59&lt;20,0, IF(C56="y",4,IF(C56="yes",4,IF(G57&gt;=G58,4,IF(G57&gt;=H58,3,IF(G57&gt;=I58,2,IF(G57&gt;=J58,1,0)))))))</f>
        <v>3</v>
      </c>
      <c r="U77" s="85"/>
      <c r="V77" s="85"/>
      <c r="W77" s="85"/>
      <c r="X77" s="85"/>
      <c r="Y77" s="85"/>
      <c r="Z77" s="85"/>
      <c r="AA77" s="85"/>
      <c r="AB77" s="44"/>
    </row>
    <row r="78" spans="2:28" ht="16.2" thickBot="1" x14ac:dyDescent="0.35">
      <c r="B78" s="48" t="s">
        <v>47</v>
      </c>
      <c r="C78" s="57">
        <f>IF(C67&lt;20,0,IF(C69&gt;=5,4,IF(C69&gt;=4,3,IF(C69&gt;=3,2,IF(C69&gt;=2,1,0)))))</f>
        <v>3</v>
      </c>
      <c r="U78" s="85"/>
      <c r="V78" s="85"/>
      <c r="W78" s="85"/>
      <c r="X78" s="85"/>
      <c r="Y78" s="85"/>
      <c r="Z78" s="85"/>
      <c r="AA78" s="85"/>
      <c r="AB78" s="44"/>
    </row>
    <row r="79" spans="2:28" ht="21.6" thickTop="1" x14ac:dyDescent="0.4">
      <c r="B79" s="53" t="s">
        <v>50</v>
      </c>
      <c r="C79" s="54">
        <f>C77+C78</f>
        <v>6</v>
      </c>
      <c r="U79" s="85"/>
      <c r="V79" s="85"/>
      <c r="W79" s="85"/>
      <c r="X79" s="85"/>
      <c r="Y79" s="85"/>
      <c r="Z79" s="85"/>
      <c r="AA79" s="85"/>
      <c r="AB79" s="44"/>
    </row>
    <row r="80" spans="2:28" x14ac:dyDescent="0.3">
      <c r="U80" s="85"/>
      <c r="V80" s="85"/>
      <c r="W80" s="85"/>
      <c r="X80" s="85"/>
      <c r="Y80" s="85"/>
      <c r="Z80" s="85"/>
      <c r="AA80" s="85"/>
      <c r="AB80" s="44"/>
    </row>
    <row r="81" spans="4:28" x14ac:dyDescent="0.3">
      <c r="U81" s="85"/>
      <c r="V81" s="85"/>
      <c r="W81" s="85"/>
      <c r="X81" s="85"/>
      <c r="Y81" s="85"/>
      <c r="Z81" s="85"/>
      <c r="AA81" s="85"/>
      <c r="AB81" s="44"/>
    </row>
    <row r="82" spans="4:28" x14ac:dyDescent="0.3"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44"/>
    </row>
    <row r="83" spans="4:28" x14ac:dyDescent="0.3"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44"/>
    </row>
    <row r="84" spans="4:28" x14ac:dyDescent="0.3"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44"/>
    </row>
    <row r="85" spans="4:28" x14ac:dyDescent="0.3"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44"/>
    </row>
    <row r="86" spans="4:28" x14ac:dyDescent="0.3"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44"/>
    </row>
    <row r="87" spans="4:28" x14ac:dyDescent="0.3"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44"/>
    </row>
    <row r="88" spans="4:28" x14ac:dyDescent="0.3"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44"/>
    </row>
    <row r="89" spans="4:28" x14ac:dyDescent="0.3"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44"/>
    </row>
    <row r="90" spans="4:28" x14ac:dyDescent="0.3"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44"/>
    </row>
    <row r="91" spans="4:28" x14ac:dyDescent="0.3"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44"/>
    </row>
    <row r="92" spans="4:28" x14ac:dyDescent="0.3"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44"/>
    </row>
    <row r="93" spans="4:28" x14ac:dyDescent="0.3"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44"/>
    </row>
    <row r="94" spans="4:28" x14ac:dyDescent="0.3"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44"/>
    </row>
    <row r="95" spans="4:28" x14ac:dyDescent="0.3"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44"/>
    </row>
    <row r="96" spans="4:28" x14ac:dyDescent="0.3"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44"/>
    </row>
    <row r="97" spans="4:28" x14ac:dyDescent="0.3"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44"/>
    </row>
    <row r="98" spans="4:28" x14ac:dyDescent="0.3"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44"/>
    </row>
    <row r="99" spans="4:28" x14ac:dyDescent="0.3"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44"/>
    </row>
    <row r="100" spans="4:28" x14ac:dyDescent="0.3"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44"/>
    </row>
    <row r="101" spans="4:28" x14ac:dyDescent="0.3"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44"/>
    </row>
    <row r="102" spans="4:28" x14ac:dyDescent="0.3"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44"/>
    </row>
    <row r="103" spans="4:28" x14ac:dyDescent="0.3"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44"/>
    </row>
    <row r="104" spans="4:28" x14ac:dyDescent="0.3"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44"/>
    </row>
    <row r="105" spans="4:28" x14ac:dyDescent="0.3"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44"/>
    </row>
    <row r="106" spans="4:28" x14ac:dyDescent="0.3"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44"/>
    </row>
    <row r="107" spans="4:28" x14ac:dyDescent="0.3"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44"/>
    </row>
  </sheetData>
  <sheetProtection algorithmName="SHA-512" hashValue="K7Spy7humF7ygWXC5IVtNgaMQ2FIb1oQinW8pzM9/cCcM9IcUkW5lQhJ/UW2LAF9OXFp01quGl7oUN32p3j2kw==" saltValue="LgTEaqFpcGZC8oM6mqoQNQ==" spinCount="100000" sheet="1" objects="1" scenarios="1" selectLockedCells="1"/>
  <sortState ref="J12:R42">
    <sortCondition ref="J12"/>
  </sortState>
  <mergeCells count="3">
    <mergeCell ref="M9:T9"/>
    <mergeCell ref="M10:P10"/>
    <mergeCell ref="Q10:T10"/>
  </mergeCells>
  <conditionalFormatting sqref="C10:C11">
    <cfRule type="containsText" dxfId="0" priority="5" operator="containsText" text="y">
      <formula>NOT(ISERROR(SEARCH("y",C10)))</formula>
    </cfRule>
  </conditionalFormatting>
  <dataValidations count="8">
    <dataValidation type="whole" allowBlank="1" showInputMessage="1" showErrorMessage="1" errorTitle="Check extra balls" error="Number of balls must be 0,1,2 3,4, or 5" sqref="C15">
      <formula1>0</formula1>
      <formula2>5</formula2>
    </dataValidation>
    <dataValidation type="whole" allowBlank="1" showInputMessage="1" showErrorMessage="1" errorTitle="Check extra balls" error="Number of balls must be 0,1,2,3,4 or 5" sqref="C20">
      <formula1>0</formula1>
      <formula2>5</formula2>
    </dataValidation>
    <dataValidation type="whole" operator="lessThan" allowBlank="1" showInputMessage="1" showErrorMessage="1" errorTitle="Check overs" error="This should be fewer than the overs originally available for the second innings." sqref="C36">
      <formula1>C19</formula1>
    </dataValidation>
    <dataValidation type="whole" allowBlank="1" showInputMessage="1" showErrorMessage="1" errorTitle="Invalid" error="Must be between 20 and 50 overs" sqref="C45">
      <formula1>20</formula1>
      <formula2>50</formula2>
    </dataValidation>
    <dataValidation type="whole" allowBlank="1" showInputMessage="1" showErrorMessage="1" errorTitle="Out of range" error="Should be between 20 and 50 overs." sqref="C13">
      <formula1>20</formula1>
      <formula2>50</formula2>
    </dataValidation>
    <dataValidation type="whole" operator="lessThanOrEqual" allowBlank="1" showInputMessage="1" showErrorMessage="1" errorTitle="Check scores" sqref="C63">
      <formula1>C55+6</formula1>
    </dataValidation>
    <dataValidation type="whole" operator="lessThanOrEqual" allowBlank="1" showInputMessage="1" showErrorMessage="1" errorTitle="Check wickets" error="Wickets must be 10 or fewer!" sqref="C57">
      <formula1>10</formula1>
    </dataValidation>
    <dataValidation type="whole" operator="lessThanOrEqual" allowBlank="1" showInputMessage="1" showErrorMessage="1" errorTitle="Check wickets" error="must be 10 or fewer" sqref="C65">
      <formula1>10</formula1>
    </dataValidation>
  </dataValidations>
  <pageMargins left="0.7" right="0.7" top="0.75" bottom="0.75" header="0.3" footer="0.3"/>
  <pageSetup paperSize="9" orientation="portrait" horizontalDpi="4294967293" verticalDpi="4294967293" r:id="rId1"/>
  <webPublishItems count="1">
    <webPublishItem id="5557" divId="3 Reduced overs calculator WCL 2015 v4 locked_5557" sourceType="sheet" destinationFile="C:\Users\Peter\Documents\County League\Win lose Calculator\3 Reduced overs calculator WCL 2015 v4 locked.htm" title="Reduced Overs calculator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Chris Marsh</cp:lastModifiedBy>
  <dcterms:created xsi:type="dcterms:W3CDTF">2014-12-11T10:03:50Z</dcterms:created>
  <dcterms:modified xsi:type="dcterms:W3CDTF">2023-06-13T19:16:35Z</dcterms:modified>
</cp:coreProperties>
</file>